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16" windowHeight="7956" tabRatio="930" firstSheet="16" activeTab="30"/>
  </bookViews>
  <sheets>
    <sheet name="01.10.19" sheetId="870" r:id="rId1"/>
    <sheet name="02.10.19" sheetId="871" r:id="rId2"/>
    <sheet name="03.10.19" sheetId="872" r:id="rId3"/>
    <sheet name="04.10.19" sheetId="873" r:id="rId4"/>
    <sheet name="05.10.19" sheetId="874" r:id="rId5"/>
    <sheet name="06.10.19" sheetId="875" r:id="rId6"/>
    <sheet name="07.10.19" sheetId="876" r:id="rId7"/>
    <sheet name="08.10.19" sheetId="877" r:id="rId8"/>
    <sheet name="09.10.19" sheetId="878" r:id="rId9"/>
    <sheet name="10.10.19" sheetId="879" r:id="rId10"/>
    <sheet name="11.10.19" sheetId="880" r:id="rId11"/>
    <sheet name="12.10.19" sheetId="881" r:id="rId12"/>
    <sheet name="13.10.19" sheetId="882" r:id="rId13"/>
    <sheet name="14.10.19" sheetId="883" r:id="rId14"/>
    <sheet name="15.10.19" sheetId="884" r:id="rId15"/>
    <sheet name="16.10.19" sheetId="885" r:id="rId16"/>
    <sheet name="17.10.19" sheetId="886" r:id="rId17"/>
    <sheet name="18.10.19" sheetId="887" r:id="rId18"/>
    <sheet name="19.10.19" sheetId="888" r:id="rId19"/>
    <sheet name="20.10.19" sheetId="889" r:id="rId20"/>
    <sheet name="21.10.19" sheetId="890" r:id="rId21"/>
    <sheet name="22.10.19" sheetId="891" r:id="rId22"/>
    <sheet name="23.10.19" sheetId="892" r:id="rId23"/>
    <sheet name="24.10.19" sheetId="893" r:id="rId24"/>
    <sheet name="25.10.19" sheetId="894" r:id="rId25"/>
    <sheet name="26.10.19" sheetId="895" r:id="rId26"/>
    <sheet name="27.10.19" sheetId="896" r:id="rId27"/>
    <sheet name="28.10.19" sheetId="897" r:id="rId28"/>
    <sheet name="29.10.19" sheetId="898" r:id="rId29"/>
    <sheet name="30.10.19" sheetId="899" r:id="rId30"/>
    <sheet name="31.10.19" sheetId="900" r:id="rId31"/>
    <sheet name="Statement" sheetId="692" r:id="rId32"/>
    <sheet name="Variance Report" sheetId="515" r:id="rId33"/>
  </sheets>
  <calcPr calcId="124519"/>
</workbook>
</file>

<file path=xl/calcChain.xml><?xml version="1.0" encoding="utf-8"?>
<calcChain xmlns="http://schemas.openxmlformats.org/spreadsheetml/2006/main">
  <c r="R74" i="900"/>
  <c r="R76"/>
  <c r="R71"/>
  <c r="S71" s="1"/>
  <c r="U71" s="1"/>
  <c r="R69"/>
  <c r="R17"/>
  <c r="S17" s="1"/>
  <c r="R16"/>
  <c r="S16" s="1"/>
  <c r="Z16" s="1"/>
  <c r="AF16" s="1"/>
  <c r="R7"/>
  <c r="R32"/>
  <c r="R14"/>
  <c r="F77"/>
  <c r="R77"/>
  <c r="M77"/>
  <c r="X79"/>
  <c r="X80" s="1"/>
  <c r="R75"/>
  <c r="D69"/>
  <c r="S69" s="1"/>
  <c r="D71"/>
  <c r="X145"/>
  <c r="AA118"/>
  <c r="Z118"/>
  <c r="W118"/>
  <c r="V118"/>
  <c r="X118" s="1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AG72"/>
  <c r="AH72" s="1"/>
  <c r="AF72"/>
  <c r="Z72"/>
  <c r="Q71"/>
  <c r="S70"/>
  <c r="U70" s="1"/>
  <c r="Q70"/>
  <c r="Q69"/>
  <c r="AF68"/>
  <c r="Z68"/>
  <c r="S68"/>
  <c r="U68" s="1"/>
  <c r="Q68"/>
  <c r="Z67"/>
  <c r="AF67" s="1"/>
  <c r="S67"/>
  <c r="U67" s="1"/>
  <c r="Q67"/>
  <c r="AH66"/>
  <c r="AG66"/>
  <c r="AF66"/>
  <c r="Z66"/>
  <c r="U65"/>
  <c r="AG65" s="1"/>
  <c r="AH65" s="1"/>
  <c r="S65"/>
  <c r="Z65" s="1"/>
  <c r="AF65" s="1"/>
  <c r="Q65"/>
  <c r="S64"/>
  <c r="U64" s="1"/>
  <c r="Q64"/>
  <c r="S63"/>
  <c r="Z63" s="1"/>
  <c r="AF63" s="1"/>
  <c r="Q63"/>
  <c r="U62"/>
  <c r="S62"/>
  <c r="Z62" s="1"/>
  <c r="AF62" s="1"/>
  <c r="Q62"/>
  <c r="S61"/>
  <c r="Z61" s="1"/>
  <c r="AF61" s="1"/>
  <c r="Q61"/>
  <c r="S60"/>
  <c r="U60" s="1"/>
  <c r="Q60"/>
  <c r="AF59"/>
  <c r="Z59"/>
  <c r="S59"/>
  <c r="U59" s="1"/>
  <c r="Q59"/>
  <c r="Z58"/>
  <c r="AF58" s="1"/>
  <c r="U58"/>
  <c r="Q58"/>
  <c r="T57"/>
  <c r="S57"/>
  <c r="U57" s="1"/>
  <c r="Q57"/>
  <c r="S56"/>
  <c r="U56" s="1"/>
  <c r="Q56"/>
  <c r="S55"/>
  <c r="Z55" s="1"/>
  <c r="AF55" s="1"/>
  <c r="Q55"/>
  <c r="S54"/>
  <c r="Z54" s="1"/>
  <c r="AF54" s="1"/>
  <c r="Q54"/>
  <c r="U53"/>
  <c r="AG53" s="1"/>
  <c r="AH53" s="1"/>
  <c r="S53"/>
  <c r="Z53" s="1"/>
  <c r="AF53" s="1"/>
  <c r="Q53"/>
  <c r="S52"/>
  <c r="U52" s="1"/>
  <c r="Q52"/>
  <c r="S51"/>
  <c r="Z51" s="1"/>
  <c r="AF51" s="1"/>
  <c r="Q51"/>
  <c r="T50"/>
  <c r="S50"/>
  <c r="Z50" s="1"/>
  <c r="AF50" s="1"/>
  <c r="Q50"/>
  <c r="S49"/>
  <c r="Z49" s="1"/>
  <c r="AF49" s="1"/>
  <c r="Q49"/>
  <c r="S48"/>
  <c r="Z48" s="1"/>
  <c r="AF48" s="1"/>
  <c r="Q48"/>
  <c r="S47"/>
  <c r="U47" s="1"/>
  <c r="Q47"/>
  <c r="S46"/>
  <c r="Z46" s="1"/>
  <c r="AF46" s="1"/>
  <c r="Q46"/>
  <c r="S45"/>
  <c r="Z45" s="1"/>
  <c r="AF45" s="1"/>
  <c r="Q45"/>
  <c r="S44"/>
  <c r="Z44" s="1"/>
  <c r="AF44" s="1"/>
  <c r="Q44"/>
  <c r="AG43"/>
  <c r="AH43" s="1"/>
  <c r="AF43"/>
  <c r="Z43"/>
  <c r="S42"/>
  <c r="U42" s="1"/>
  <c r="Q42"/>
  <c r="S41"/>
  <c r="U41" s="1"/>
  <c r="Q41"/>
  <c r="T40"/>
  <c r="S40"/>
  <c r="U40" s="1"/>
  <c r="Q40"/>
  <c r="S39"/>
  <c r="Z39" s="1"/>
  <c r="AF39" s="1"/>
  <c r="Q39"/>
  <c r="S38"/>
  <c r="Z38" s="1"/>
  <c r="AF38" s="1"/>
  <c r="Q38"/>
  <c r="S37"/>
  <c r="U37" s="1"/>
  <c r="Q37"/>
  <c r="S36"/>
  <c r="Z36" s="1"/>
  <c r="AF36" s="1"/>
  <c r="Q36"/>
  <c r="S35"/>
  <c r="Z35" s="1"/>
  <c r="AF35" s="1"/>
  <c r="Q35"/>
  <c r="S34"/>
  <c r="Z34" s="1"/>
  <c r="AF34" s="1"/>
  <c r="Q34"/>
  <c r="S33"/>
  <c r="U33" s="1"/>
  <c r="Q33"/>
  <c r="S32"/>
  <c r="Z32" s="1"/>
  <c r="AF32" s="1"/>
  <c r="Q32"/>
  <c r="S31"/>
  <c r="Z31" s="1"/>
  <c r="AF31" s="1"/>
  <c r="Q31"/>
  <c r="U30"/>
  <c r="AG30" s="1"/>
  <c r="AH30" s="1"/>
  <c r="S30"/>
  <c r="Z30" s="1"/>
  <c r="AF30" s="1"/>
  <c r="Q30"/>
  <c r="T29"/>
  <c r="S29"/>
  <c r="U29" s="1"/>
  <c r="Q29"/>
  <c r="T28"/>
  <c r="T73" s="1"/>
  <c r="S28"/>
  <c r="U28" s="1"/>
  <c r="Q28"/>
  <c r="S27"/>
  <c r="U27" s="1"/>
  <c r="Q27"/>
  <c r="S26"/>
  <c r="Z26" s="1"/>
  <c r="AF26" s="1"/>
  <c r="Q26"/>
  <c r="S25"/>
  <c r="Z25" s="1"/>
  <c r="AF25" s="1"/>
  <c r="Q25"/>
  <c r="U24"/>
  <c r="AG24" s="1"/>
  <c r="AH24" s="1"/>
  <c r="S24"/>
  <c r="Z24" s="1"/>
  <c r="AF24" s="1"/>
  <c r="Q24"/>
  <c r="S23"/>
  <c r="U23" s="1"/>
  <c r="Q23"/>
  <c r="S22"/>
  <c r="Z22" s="1"/>
  <c r="AF22" s="1"/>
  <c r="Q22"/>
  <c r="S21"/>
  <c r="Z21" s="1"/>
  <c r="AF21" s="1"/>
  <c r="Q21"/>
  <c r="S20"/>
  <c r="Z20" s="1"/>
  <c r="AF20" s="1"/>
  <c r="Q20"/>
  <c r="S19"/>
  <c r="U19" s="1"/>
  <c r="Q19"/>
  <c r="AF18"/>
  <c r="AG18" s="1"/>
  <c r="AH18" s="1"/>
  <c r="Z18"/>
  <c r="Q17"/>
  <c r="Q16"/>
  <c r="S15"/>
  <c r="Z15" s="1"/>
  <c r="AF15" s="1"/>
  <c r="Q15"/>
  <c r="Q14"/>
  <c r="Z13"/>
  <c r="AF13" s="1"/>
  <c r="U13"/>
  <c r="S13"/>
  <c r="Q13"/>
  <c r="Q12"/>
  <c r="D73"/>
  <c r="E75" s="1"/>
  <c r="S11"/>
  <c r="Z11" s="1"/>
  <c r="AF11" s="1"/>
  <c r="Q11"/>
  <c r="S10"/>
  <c r="Z10" s="1"/>
  <c r="AF10" s="1"/>
  <c r="Q10"/>
  <c r="S9"/>
  <c r="U9" s="1"/>
  <c r="Q9"/>
  <c r="Q8"/>
  <c r="S8"/>
  <c r="S7"/>
  <c r="U7" s="1"/>
  <c r="Q7"/>
  <c r="F77" i="899"/>
  <c r="R76"/>
  <c r="R75"/>
  <c r="R74"/>
  <c r="R69"/>
  <c r="R71"/>
  <c r="R8"/>
  <c r="R14"/>
  <c r="R12"/>
  <c r="R17"/>
  <c r="D8"/>
  <c r="D12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R77"/>
  <c r="M77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AF72"/>
  <c r="AG72" s="1"/>
  <c r="AH72" s="1"/>
  <c r="Z72"/>
  <c r="S71"/>
  <c r="Q71"/>
  <c r="S70"/>
  <c r="U70" s="1"/>
  <c r="Q70"/>
  <c r="Q69"/>
  <c r="S69"/>
  <c r="Z68"/>
  <c r="AF68" s="1"/>
  <c r="S68"/>
  <c r="U68" s="1"/>
  <c r="Q68"/>
  <c r="S67"/>
  <c r="Z67" s="1"/>
  <c r="AF67" s="1"/>
  <c r="Q67"/>
  <c r="Z66"/>
  <c r="AF66" s="1"/>
  <c r="AG66" s="1"/>
  <c r="AH66" s="1"/>
  <c r="S65"/>
  <c r="Z65" s="1"/>
  <c r="AF65" s="1"/>
  <c r="Q65"/>
  <c r="S64"/>
  <c r="Z64" s="1"/>
  <c r="AF64" s="1"/>
  <c r="Q64"/>
  <c r="S63"/>
  <c r="U63" s="1"/>
  <c r="Q63"/>
  <c r="S62"/>
  <c r="U62" s="1"/>
  <c r="Q62"/>
  <c r="S61"/>
  <c r="Z61" s="1"/>
  <c r="AF61" s="1"/>
  <c r="Q61"/>
  <c r="S60"/>
  <c r="Z60" s="1"/>
  <c r="AF60" s="1"/>
  <c r="Q60"/>
  <c r="S59"/>
  <c r="Z59" s="1"/>
  <c r="AF59" s="1"/>
  <c r="Q59"/>
  <c r="Z58"/>
  <c r="AF58" s="1"/>
  <c r="U58"/>
  <c r="AG58" s="1"/>
  <c r="AH58" s="1"/>
  <c r="Q58"/>
  <c r="T57"/>
  <c r="S57"/>
  <c r="Z57" s="1"/>
  <c r="AF57" s="1"/>
  <c r="Q57"/>
  <c r="S56"/>
  <c r="Z56" s="1"/>
  <c r="AF56" s="1"/>
  <c r="Q56"/>
  <c r="S55"/>
  <c r="U55" s="1"/>
  <c r="Q55"/>
  <c r="Z54"/>
  <c r="AF54" s="1"/>
  <c r="S54"/>
  <c r="U54" s="1"/>
  <c r="Q54"/>
  <c r="S53"/>
  <c r="Z53" s="1"/>
  <c r="AF53" s="1"/>
  <c r="Q53"/>
  <c r="S52"/>
  <c r="Z52" s="1"/>
  <c r="AF52" s="1"/>
  <c r="Q52"/>
  <c r="U51"/>
  <c r="S51"/>
  <c r="Z51" s="1"/>
  <c r="AF51" s="1"/>
  <c r="Q51"/>
  <c r="T50"/>
  <c r="S50"/>
  <c r="U50" s="1"/>
  <c r="Q50"/>
  <c r="S49"/>
  <c r="Z49" s="1"/>
  <c r="AF49" s="1"/>
  <c r="Q49"/>
  <c r="U48"/>
  <c r="S48"/>
  <c r="Z48" s="1"/>
  <c r="AF48" s="1"/>
  <c r="Q48"/>
  <c r="S47"/>
  <c r="Z47" s="1"/>
  <c r="AF47" s="1"/>
  <c r="Q47"/>
  <c r="S46"/>
  <c r="U46" s="1"/>
  <c r="Q46"/>
  <c r="S45"/>
  <c r="U45" s="1"/>
  <c r="Q45"/>
  <c r="S44"/>
  <c r="Z44" s="1"/>
  <c r="AF44" s="1"/>
  <c r="Q44"/>
  <c r="AG43"/>
  <c r="AH43" s="1"/>
  <c r="AF43"/>
  <c r="Z43"/>
  <c r="S42"/>
  <c r="Z42" s="1"/>
  <c r="AF42" s="1"/>
  <c r="Q42"/>
  <c r="U41"/>
  <c r="S41"/>
  <c r="Z41" s="1"/>
  <c r="AF41" s="1"/>
  <c r="Q41"/>
  <c r="T40"/>
  <c r="S40"/>
  <c r="U40" s="1"/>
  <c r="Q40"/>
  <c r="S39"/>
  <c r="Z39" s="1"/>
  <c r="AF39" s="1"/>
  <c r="Q39"/>
  <c r="U38"/>
  <c r="S38"/>
  <c r="Z38" s="1"/>
  <c r="AF38" s="1"/>
  <c r="Q38"/>
  <c r="S37"/>
  <c r="Z37" s="1"/>
  <c r="AF37" s="1"/>
  <c r="Q37"/>
  <c r="S36"/>
  <c r="U36" s="1"/>
  <c r="Q36"/>
  <c r="S35"/>
  <c r="U35" s="1"/>
  <c r="Q35"/>
  <c r="S34"/>
  <c r="Z34" s="1"/>
  <c r="AF34" s="1"/>
  <c r="Q34"/>
  <c r="S33"/>
  <c r="Z33" s="1"/>
  <c r="AF33" s="1"/>
  <c r="Q33"/>
  <c r="U32"/>
  <c r="S32"/>
  <c r="Z32" s="1"/>
  <c r="AF32" s="1"/>
  <c r="Q32"/>
  <c r="U31"/>
  <c r="S31"/>
  <c r="Z31" s="1"/>
  <c r="AF31" s="1"/>
  <c r="Q31"/>
  <c r="S30"/>
  <c r="Z30" s="1"/>
  <c r="AF30" s="1"/>
  <c r="Q30"/>
  <c r="T29"/>
  <c r="S29"/>
  <c r="Z29" s="1"/>
  <c r="AF29" s="1"/>
  <c r="Q29"/>
  <c r="T28"/>
  <c r="T73" s="1"/>
  <c r="S28"/>
  <c r="Z28" s="1"/>
  <c r="AF28" s="1"/>
  <c r="Q28"/>
  <c r="S27"/>
  <c r="Z27" s="1"/>
  <c r="AF27" s="1"/>
  <c r="Q27"/>
  <c r="S26"/>
  <c r="Z26" s="1"/>
  <c r="AF26" s="1"/>
  <c r="Q26"/>
  <c r="S25"/>
  <c r="Z25" s="1"/>
  <c r="AF25" s="1"/>
  <c r="Q25"/>
  <c r="U24"/>
  <c r="S24"/>
  <c r="Z24" s="1"/>
  <c r="AF24" s="1"/>
  <c r="Q24"/>
  <c r="S23"/>
  <c r="Z23" s="1"/>
  <c r="AF23" s="1"/>
  <c r="Q23"/>
  <c r="S22"/>
  <c r="U22" s="1"/>
  <c r="Q22"/>
  <c r="S21"/>
  <c r="U21" s="1"/>
  <c r="Q21"/>
  <c r="S20"/>
  <c r="Z20" s="1"/>
  <c r="AF20" s="1"/>
  <c r="Q20"/>
  <c r="S19"/>
  <c r="Z19" s="1"/>
  <c r="AF19" s="1"/>
  <c r="Q19"/>
  <c r="AF18"/>
  <c r="AG18" s="1"/>
  <c r="AH18" s="1"/>
  <c r="Z18"/>
  <c r="S17"/>
  <c r="Q17"/>
  <c r="S16"/>
  <c r="Q16"/>
  <c r="S15"/>
  <c r="U15" s="1"/>
  <c r="Q15"/>
  <c r="Q14"/>
  <c r="S13"/>
  <c r="U13" s="1"/>
  <c r="Q13"/>
  <c r="S12"/>
  <c r="U12" s="1"/>
  <c r="Q12"/>
  <c r="S11"/>
  <c r="Z11" s="1"/>
  <c r="AF11" s="1"/>
  <c r="Q11"/>
  <c r="S10"/>
  <c r="Z10" s="1"/>
  <c r="AF10" s="1"/>
  <c r="Q10"/>
  <c r="S9"/>
  <c r="U9" s="1"/>
  <c r="Q9"/>
  <c r="S8"/>
  <c r="Q8"/>
  <c r="R73"/>
  <c r="D76" s="1"/>
  <c r="Q7"/>
  <c r="R17" i="898"/>
  <c r="R16"/>
  <c r="R8"/>
  <c r="R7"/>
  <c r="R14"/>
  <c r="R69"/>
  <c r="R71"/>
  <c r="R12"/>
  <c r="R73" i="900" l="1"/>
  <c r="D76" s="1"/>
  <c r="S14"/>
  <c r="Z14" s="1"/>
  <c r="AF14" s="1"/>
  <c r="R80"/>
  <c r="U11"/>
  <c r="AG11" s="1"/>
  <c r="AH11" s="1"/>
  <c r="U35"/>
  <c r="AG35" s="1"/>
  <c r="AH35" s="1"/>
  <c r="Z41"/>
  <c r="AF41" s="1"/>
  <c r="U46"/>
  <c r="U63"/>
  <c r="AG63" s="1"/>
  <c r="AH63" s="1"/>
  <c r="U21"/>
  <c r="AG21" s="1"/>
  <c r="AH21" s="1"/>
  <c r="U38"/>
  <c r="AG38" s="1"/>
  <c r="AH38" s="1"/>
  <c r="U49"/>
  <c r="Q73"/>
  <c r="E74" s="1"/>
  <c r="Z40"/>
  <c r="AF40" s="1"/>
  <c r="AG40" s="1"/>
  <c r="AH40" s="1"/>
  <c r="U15"/>
  <c r="AG15" s="1"/>
  <c r="AH15" s="1"/>
  <c r="U16"/>
  <c r="AG16" s="1"/>
  <c r="AH16" s="1"/>
  <c r="U22"/>
  <c r="AG22" s="1"/>
  <c r="AH22" s="1"/>
  <c r="U25"/>
  <c r="AG25" s="1"/>
  <c r="AH25" s="1"/>
  <c r="U26"/>
  <c r="U31"/>
  <c r="U32"/>
  <c r="AG32" s="1"/>
  <c r="AH32" s="1"/>
  <c r="U36"/>
  <c r="AG36" s="1"/>
  <c r="AH36" s="1"/>
  <c r="U39"/>
  <c r="U45"/>
  <c r="U48"/>
  <c r="AG48" s="1"/>
  <c r="AH48" s="1"/>
  <c r="U50"/>
  <c r="AG50" s="1"/>
  <c r="AH50" s="1"/>
  <c r="U51"/>
  <c r="AG45"/>
  <c r="AH45" s="1"/>
  <c r="AG62"/>
  <c r="AH62" s="1"/>
  <c r="U10"/>
  <c r="AG10" s="1"/>
  <c r="AH10" s="1"/>
  <c r="U20"/>
  <c r="AG20" s="1"/>
  <c r="AH20" s="1"/>
  <c r="U34"/>
  <c r="AG34" s="1"/>
  <c r="AH34" s="1"/>
  <c r="U44"/>
  <c r="AG44" s="1"/>
  <c r="AH44" s="1"/>
  <c r="U54"/>
  <c r="U55"/>
  <c r="AG55" s="1"/>
  <c r="AH55" s="1"/>
  <c r="U61"/>
  <c r="AG46"/>
  <c r="AH46" s="1"/>
  <c r="AG41"/>
  <c r="AH41" s="1"/>
  <c r="AG51"/>
  <c r="AH51" s="1"/>
  <c r="AG26"/>
  <c r="AH26" s="1"/>
  <c r="AG59"/>
  <c r="AH59" s="1"/>
  <c r="AG68"/>
  <c r="AH68" s="1"/>
  <c r="U8"/>
  <c r="Z8"/>
  <c r="AF8" s="1"/>
  <c r="AG31"/>
  <c r="AH31" s="1"/>
  <c r="AG54"/>
  <c r="AH54" s="1"/>
  <c r="AG61"/>
  <c r="AH61" s="1"/>
  <c r="U17"/>
  <c r="Z17"/>
  <c r="AF17" s="1"/>
  <c r="U69"/>
  <c r="Z69"/>
  <c r="AF69" s="1"/>
  <c r="AG13"/>
  <c r="AH13" s="1"/>
  <c r="AG39"/>
  <c r="AH39" s="1"/>
  <c r="AG49"/>
  <c r="AH49" s="1"/>
  <c r="AG58"/>
  <c r="AH58" s="1"/>
  <c r="AG67"/>
  <c r="AH67" s="1"/>
  <c r="S12"/>
  <c r="Z7"/>
  <c r="Z19"/>
  <c r="AF19" s="1"/>
  <c r="AG19" s="1"/>
  <c r="AH19" s="1"/>
  <c r="Z23"/>
  <c r="AF23" s="1"/>
  <c r="AG23" s="1"/>
  <c r="AH23" s="1"/>
  <c r="Z27"/>
  <c r="AF27" s="1"/>
  <c r="AG27" s="1"/>
  <c r="AH27" s="1"/>
  <c r="Z28"/>
  <c r="AF28" s="1"/>
  <c r="AG28" s="1"/>
  <c r="AH28" s="1"/>
  <c r="Z29"/>
  <c r="AF29" s="1"/>
  <c r="AG29" s="1"/>
  <c r="AH29" s="1"/>
  <c r="Z37"/>
  <c r="AF37" s="1"/>
  <c r="AG37" s="1"/>
  <c r="AH37" s="1"/>
  <c r="Z47"/>
  <c r="AF47" s="1"/>
  <c r="AG47" s="1"/>
  <c r="AH47" s="1"/>
  <c r="Z52"/>
  <c r="AF52" s="1"/>
  <c r="AG52" s="1"/>
  <c r="AH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Z70"/>
  <c r="AF70" s="1"/>
  <c r="AG70" s="1"/>
  <c r="AH70" s="1"/>
  <c r="Z71"/>
  <c r="AF71" s="1"/>
  <c r="AG71" s="1"/>
  <c r="AH71" s="1"/>
  <c r="Z9"/>
  <c r="AF9" s="1"/>
  <c r="AG9" s="1"/>
  <c r="AH9" s="1"/>
  <c r="Z33"/>
  <c r="AF33" s="1"/>
  <c r="AG33" s="1"/>
  <c r="AH33" s="1"/>
  <c r="Z42"/>
  <c r="AF42" s="1"/>
  <c r="AG42" s="1"/>
  <c r="AH42" s="1"/>
  <c r="X118" i="899"/>
  <c r="R80"/>
  <c r="T74"/>
  <c r="D73"/>
  <c r="E75" s="1"/>
  <c r="S14"/>
  <c r="Z14" s="1"/>
  <c r="AF14" s="1"/>
  <c r="U53"/>
  <c r="AG53" s="1"/>
  <c r="AH53" s="1"/>
  <c r="U65"/>
  <c r="AG65" s="1"/>
  <c r="AH65" s="1"/>
  <c r="U67"/>
  <c r="AG67" s="1"/>
  <c r="AH67" s="1"/>
  <c r="Z70"/>
  <c r="AF70" s="1"/>
  <c r="AG70" s="1"/>
  <c r="AH70" s="1"/>
  <c r="Z40"/>
  <c r="AF40" s="1"/>
  <c r="AG40" s="1"/>
  <c r="AH40" s="1"/>
  <c r="Z50"/>
  <c r="AF50" s="1"/>
  <c r="U11"/>
  <c r="AG11" s="1"/>
  <c r="AH11" s="1"/>
  <c r="U25"/>
  <c r="AG25" s="1"/>
  <c r="AH25" s="1"/>
  <c r="U26"/>
  <c r="AG26" s="1"/>
  <c r="AH26" s="1"/>
  <c r="U30"/>
  <c r="U39"/>
  <c r="AG39" s="1"/>
  <c r="AH39" s="1"/>
  <c r="U49"/>
  <c r="AG49" s="1"/>
  <c r="AH49" s="1"/>
  <c r="Z55"/>
  <c r="AF55" s="1"/>
  <c r="AG55" s="1"/>
  <c r="AH55" s="1"/>
  <c r="U59"/>
  <c r="AG59" s="1"/>
  <c r="AH59" s="1"/>
  <c r="Q73"/>
  <c r="E74" s="1"/>
  <c r="AG31"/>
  <c r="AH31" s="1"/>
  <c r="AG32"/>
  <c r="AH32" s="1"/>
  <c r="AG68"/>
  <c r="AH68" s="1"/>
  <c r="Z12"/>
  <c r="AF12" s="1"/>
  <c r="AG12" s="1"/>
  <c r="AH12" s="1"/>
  <c r="Z13"/>
  <c r="AF13" s="1"/>
  <c r="AG13" s="1"/>
  <c r="AH13" s="1"/>
  <c r="Z15"/>
  <c r="AF15" s="1"/>
  <c r="AG15" s="1"/>
  <c r="AH15" s="1"/>
  <c r="U20"/>
  <c r="AG20" s="1"/>
  <c r="AH20" s="1"/>
  <c r="Z21"/>
  <c r="AF21" s="1"/>
  <c r="AG21" s="1"/>
  <c r="AH21" s="1"/>
  <c r="Z22"/>
  <c r="AF22" s="1"/>
  <c r="AG22" s="1"/>
  <c r="AH22" s="1"/>
  <c r="U34"/>
  <c r="AG34" s="1"/>
  <c r="AH34" s="1"/>
  <c r="Z35"/>
  <c r="AF35" s="1"/>
  <c r="Z36"/>
  <c r="AF36" s="1"/>
  <c r="AG36" s="1"/>
  <c r="AH36" s="1"/>
  <c r="U44"/>
  <c r="AG44" s="1"/>
  <c r="AH44" s="1"/>
  <c r="Z45"/>
  <c r="AF45" s="1"/>
  <c r="AG45" s="1"/>
  <c r="AH45" s="1"/>
  <c r="Z46"/>
  <c r="AF46" s="1"/>
  <c r="AG46" s="1"/>
  <c r="AH46" s="1"/>
  <c r="U61"/>
  <c r="AG61" s="1"/>
  <c r="AH61" s="1"/>
  <c r="Z62"/>
  <c r="AF62" s="1"/>
  <c r="AG62" s="1"/>
  <c r="AH62" s="1"/>
  <c r="Z63"/>
  <c r="AF63" s="1"/>
  <c r="AG63" s="1"/>
  <c r="AH63" s="1"/>
  <c r="AG41"/>
  <c r="AH41" s="1"/>
  <c r="AG51"/>
  <c r="AH51" s="1"/>
  <c r="U10"/>
  <c r="AG10" s="1"/>
  <c r="AH10" s="1"/>
  <c r="U69"/>
  <c r="Z69"/>
  <c r="AF69" s="1"/>
  <c r="U71"/>
  <c r="Z71"/>
  <c r="AF71" s="1"/>
  <c r="U16"/>
  <c r="Z16"/>
  <c r="AF16" s="1"/>
  <c r="Z8"/>
  <c r="AF8" s="1"/>
  <c r="U8"/>
  <c r="AG54"/>
  <c r="AH54" s="1"/>
  <c r="AG35"/>
  <c r="AH35" s="1"/>
  <c r="AG24"/>
  <c r="AH24" s="1"/>
  <c r="AG30"/>
  <c r="AH30" s="1"/>
  <c r="AG38"/>
  <c r="AH38" s="1"/>
  <c r="AG48"/>
  <c r="AH48" s="1"/>
  <c r="AG50"/>
  <c r="AH50" s="1"/>
  <c r="U17"/>
  <c r="Z17"/>
  <c r="AF17" s="1"/>
  <c r="Z9"/>
  <c r="AF9" s="1"/>
  <c r="AG9" s="1"/>
  <c r="AH9" s="1"/>
  <c r="S7"/>
  <c r="U19"/>
  <c r="AG19" s="1"/>
  <c r="AH19" s="1"/>
  <c r="U23"/>
  <c r="AG23" s="1"/>
  <c r="AH23" s="1"/>
  <c r="U27"/>
  <c r="AG27" s="1"/>
  <c r="AH27" s="1"/>
  <c r="U28"/>
  <c r="AG28" s="1"/>
  <c r="AH28" s="1"/>
  <c r="U29"/>
  <c r="AG29" s="1"/>
  <c r="AH29" s="1"/>
  <c r="U33"/>
  <c r="AG33" s="1"/>
  <c r="AH33" s="1"/>
  <c r="U37"/>
  <c r="AG37" s="1"/>
  <c r="AH37" s="1"/>
  <c r="U42"/>
  <c r="AG42" s="1"/>
  <c r="AH42" s="1"/>
  <c r="U47"/>
  <c r="AG47" s="1"/>
  <c r="AH47" s="1"/>
  <c r="U52"/>
  <c r="AG52" s="1"/>
  <c r="AH52" s="1"/>
  <c r="U56"/>
  <c r="AG56" s="1"/>
  <c r="AH56" s="1"/>
  <c r="U57"/>
  <c r="AG57" s="1"/>
  <c r="AH57" s="1"/>
  <c r="U60"/>
  <c r="AG60" s="1"/>
  <c r="AH60" s="1"/>
  <c r="U64"/>
  <c r="AG64" s="1"/>
  <c r="AH64" s="1"/>
  <c r="D14" i="898"/>
  <c r="D69"/>
  <c r="X14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M77"/>
  <c r="F77"/>
  <c r="R76"/>
  <c r="R80" s="1"/>
  <c r="R75"/>
  <c r="T74"/>
  <c r="R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D73"/>
  <c r="E75" s="1"/>
  <c r="C73"/>
  <c r="AG72"/>
  <c r="AH72" s="1"/>
  <c r="AF72"/>
  <c r="Z72"/>
  <c r="S71"/>
  <c r="U71" s="1"/>
  <c r="Q71"/>
  <c r="S70"/>
  <c r="U70" s="1"/>
  <c r="Q70"/>
  <c r="S69"/>
  <c r="Q69"/>
  <c r="U68"/>
  <c r="S68"/>
  <c r="Z68" s="1"/>
  <c r="AF68" s="1"/>
  <c r="Q68"/>
  <c r="S67"/>
  <c r="Z67" s="1"/>
  <c r="AF67" s="1"/>
  <c r="Q67"/>
  <c r="AG66"/>
  <c r="AH66" s="1"/>
  <c r="AF66"/>
  <c r="Z66"/>
  <c r="S65"/>
  <c r="U65" s="1"/>
  <c r="Q65"/>
  <c r="S64"/>
  <c r="U64" s="1"/>
  <c r="Q64"/>
  <c r="S63"/>
  <c r="Z63" s="1"/>
  <c r="AF63" s="1"/>
  <c r="Q63"/>
  <c r="S62"/>
  <c r="Z62" s="1"/>
  <c r="AF62" s="1"/>
  <c r="Q62"/>
  <c r="S61"/>
  <c r="U61" s="1"/>
  <c r="Q61"/>
  <c r="S60"/>
  <c r="U60" s="1"/>
  <c r="Q60"/>
  <c r="Z59"/>
  <c r="AF59" s="1"/>
  <c r="S59"/>
  <c r="U59" s="1"/>
  <c r="Q59"/>
  <c r="Z58"/>
  <c r="AF58" s="1"/>
  <c r="U58"/>
  <c r="Q58"/>
  <c r="T57"/>
  <c r="S57"/>
  <c r="Z57" s="1"/>
  <c r="AF57" s="1"/>
  <c r="Q57"/>
  <c r="S56"/>
  <c r="U56" s="1"/>
  <c r="Q56"/>
  <c r="S55"/>
  <c r="U55" s="1"/>
  <c r="Q55"/>
  <c r="S54"/>
  <c r="Z54" s="1"/>
  <c r="AF54" s="1"/>
  <c r="Q54"/>
  <c r="S53"/>
  <c r="U53" s="1"/>
  <c r="Q53"/>
  <c r="S52"/>
  <c r="U52" s="1"/>
  <c r="Q52"/>
  <c r="S51"/>
  <c r="Z51" s="1"/>
  <c r="AF51" s="1"/>
  <c r="Q51"/>
  <c r="T50"/>
  <c r="S50"/>
  <c r="U50" s="1"/>
  <c r="Q50"/>
  <c r="S49"/>
  <c r="Z49" s="1"/>
  <c r="AF49" s="1"/>
  <c r="Q49"/>
  <c r="S48"/>
  <c r="U48" s="1"/>
  <c r="Q48"/>
  <c r="S47"/>
  <c r="U47" s="1"/>
  <c r="Q47"/>
  <c r="S46"/>
  <c r="U46" s="1"/>
  <c r="Q46"/>
  <c r="S45"/>
  <c r="Z45" s="1"/>
  <c r="AF45" s="1"/>
  <c r="Q45"/>
  <c r="S44"/>
  <c r="U44" s="1"/>
  <c r="Q44"/>
  <c r="AF43"/>
  <c r="AG43" s="1"/>
  <c r="AH43" s="1"/>
  <c r="Z43"/>
  <c r="Z42"/>
  <c r="AF42" s="1"/>
  <c r="S42"/>
  <c r="U42" s="1"/>
  <c r="Q42"/>
  <c r="U41"/>
  <c r="S41"/>
  <c r="Z41" s="1"/>
  <c r="AF41" s="1"/>
  <c r="Q41"/>
  <c r="Z40"/>
  <c r="AF40" s="1"/>
  <c r="U40"/>
  <c r="T40"/>
  <c r="T73" s="1"/>
  <c r="S40"/>
  <c r="Q40"/>
  <c r="U39"/>
  <c r="AG39" s="1"/>
  <c r="AH39" s="1"/>
  <c r="S39"/>
  <c r="Z39" s="1"/>
  <c r="AF39" s="1"/>
  <c r="Q39"/>
  <c r="S38"/>
  <c r="U38" s="1"/>
  <c r="Q38"/>
  <c r="S37"/>
  <c r="U37" s="1"/>
  <c r="Q37"/>
  <c r="S36"/>
  <c r="U36" s="1"/>
  <c r="Q36"/>
  <c r="S35"/>
  <c r="Z35" s="1"/>
  <c r="AF35" s="1"/>
  <c r="Q35"/>
  <c r="S34"/>
  <c r="U34" s="1"/>
  <c r="Q34"/>
  <c r="Z33"/>
  <c r="AF33" s="1"/>
  <c r="S33"/>
  <c r="U33" s="1"/>
  <c r="Q33"/>
  <c r="U32"/>
  <c r="S32"/>
  <c r="Z32" s="1"/>
  <c r="AF32" s="1"/>
  <c r="Q32"/>
  <c r="S31"/>
  <c r="Z31" s="1"/>
  <c r="AF31" s="1"/>
  <c r="Q31"/>
  <c r="S30"/>
  <c r="U30" s="1"/>
  <c r="Q30"/>
  <c r="T29"/>
  <c r="S29"/>
  <c r="U29" s="1"/>
  <c r="Q29"/>
  <c r="T28"/>
  <c r="S28"/>
  <c r="U28" s="1"/>
  <c r="Q28"/>
  <c r="S27"/>
  <c r="U27" s="1"/>
  <c r="Q27"/>
  <c r="S26"/>
  <c r="U26" s="1"/>
  <c r="Q26"/>
  <c r="S25"/>
  <c r="Z25" s="1"/>
  <c r="AF25" s="1"/>
  <c r="Q25"/>
  <c r="S24"/>
  <c r="U24" s="1"/>
  <c r="Q24"/>
  <c r="Z23"/>
  <c r="AF23" s="1"/>
  <c r="S23"/>
  <c r="U23" s="1"/>
  <c r="Q23"/>
  <c r="U22"/>
  <c r="S22"/>
  <c r="Z22" s="1"/>
  <c r="AF22" s="1"/>
  <c r="Q22"/>
  <c r="S21"/>
  <c r="Z21" s="1"/>
  <c r="AF21" s="1"/>
  <c r="Q21"/>
  <c r="S20"/>
  <c r="U20" s="1"/>
  <c r="Q20"/>
  <c r="S19"/>
  <c r="U19" s="1"/>
  <c r="Q19"/>
  <c r="Z18"/>
  <c r="AF18" s="1"/>
  <c r="AG18" s="1"/>
  <c r="AH18" s="1"/>
  <c r="S17"/>
  <c r="Q17"/>
  <c r="S16"/>
  <c r="Z16" s="1"/>
  <c r="AF16" s="1"/>
  <c r="Q16"/>
  <c r="S15"/>
  <c r="Z15" s="1"/>
  <c r="AF15" s="1"/>
  <c r="Q15"/>
  <c r="S14"/>
  <c r="U14" s="1"/>
  <c r="Q14"/>
  <c r="S13"/>
  <c r="U13" s="1"/>
  <c r="Q13"/>
  <c r="S12"/>
  <c r="Q12"/>
  <c r="S11"/>
  <c r="Q11"/>
  <c r="Z10"/>
  <c r="AF10" s="1"/>
  <c r="S10"/>
  <c r="U10" s="1"/>
  <c r="Q10"/>
  <c r="S9"/>
  <c r="Z9" s="1"/>
  <c r="AF9" s="1"/>
  <c r="Q9"/>
  <c r="S8"/>
  <c r="Z8" s="1"/>
  <c r="AF8" s="1"/>
  <c r="Q8"/>
  <c r="S7"/>
  <c r="Z7" s="1"/>
  <c r="R73"/>
  <c r="D76" s="1"/>
  <c r="Q7"/>
  <c r="F77" i="897"/>
  <c r="R76"/>
  <c r="R75"/>
  <c r="R74"/>
  <c r="R69"/>
  <c r="R14"/>
  <c r="R12"/>
  <c r="R8"/>
  <c r="R7"/>
  <c r="R17"/>
  <c r="U14" i="900" l="1"/>
  <c r="AG14" s="1"/>
  <c r="AH14" s="1"/>
  <c r="S73"/>
  <c r="AG69"/>
  <c r="AH69" s="1"/>
  <c r="Z12"/>
  <c r="AF12" s="1"/>
  <c r="U12"/>
  <c r="Z73"/>
  <c r="AF7"/>
  <c r="AG17"/>
  <c r="AH17" s="1"/>
  <c r="AG8"/>
  <c r="AH8" s="1"/>
  <c r="U14" i="899"/>
  <c r="AG14" s="1"/>
  <c r="AH14" s="1"/>
  <c r="AG71"/>
  <c r="AH71" s="1"/>
  <c r="U7"/>
  <c r="S73"/>
  <c r="Z7"/>
  <c r="AG17"/>
  <c r="AH17" s="1"/>
  <c r="AG16"/>
  <c r="AH16" s="1"/>
  <c r="AG69"/>
  <c r="AH69" s="1"/>
  <c r="AG8"/>
  <c r="AH8" s="1"/>
  <c r="X118" i="898"/>
  <c r="U45"/>
  <c r="AG45" s="1"/>
  <c r="AH45" s="1"/>
  <c r="Z19"/>
  <c r="AF19" s="1"/>
  <c r="AG19" s="1"/>
  <c r="AH19" s="1"/>
  <c r="Z46"/>
  <c r="AF46" s="1"/>
  <c r="Z50"/>
  <c r="AF50" s="1"/>
  <c r="AG50" s="1"/>
  <c r="AH50" s="1"/>
  <c r="Q73"/>
  <c r="E74" s="1"/>
  <c r="U16"/>
  <c r="AG16" s="1"/>
  <c r="AH16" s="1"/>
  <c r="U49"/>
  <c r="AG49" s="1"/>
  <c r="AH49" s="1"/>
  <c r="U51"/>
  <c r="AG51" s="1"/>
  <c r="AH51" s="1"/>
  <c r="Z60"/>
  <c r="AF60" s="1"/>
  <c r="AG60" s="1"/>
  <c r="AH60" s="1"/>
  <c r="U63"/>
  <c r="AG63" s="1"/>
  <c r="AH63" s="1"/>
  <c r="U9"/>
  <c r="AG9" s="1"/>
  <c r="AH9" s="1"/>
  <c r="Z52"/>
  <c r="AF52" s="1"/>
  <c r="AG52" s="1"/>
  <c r="AH52" s="1"/>
  <c r="Z64"/>
  <c r="AF64" s="1"/>
  <c r="AG68"/>
  <c r="AH68" s="1"/>
  <c r="AG23"/>
  <c r="AH23" s="1"/>
  <c r="U25"/>
  <c r="AG25" s="1"/>
  <c r="AH25" s="1"/>
  <c r="Z26"/>
  <c r="AF26" s="1"/>
  <c r="AG26" s="1"/>
  <c r="AH26" s="1"/>
  <c r="U35"/>
  <c r="AG35" s="1"/>
  <c r="AH35" s="1"/>
  <c r="Z36"/>
  <c r="AF36" s="1"/>
  <c r="AG36" s="1"/>
  <c r="AH36" s="1"/>
  <c r="AG42"/>
  <c r="AH42" s="1"/>
  <c r="Z47"/>
  <c r="AF47" s="1"/>
  <c r="AG47" s="1"/>
  <c r="AH47" s="1"/>
  <c r="U54"/>
  <c r="AG54" s="1"/>
  <c r="AH54" s="1"/>
  <c r="Z55"/>
  <c r="AF55" s="1"/>
  <c r="AG55" s="1"/>
  <c r="AH55" s="1"/>
  <c r="Z70"/>
  <c r="AF70" s="1"/>
  <c r="AG70" s="1"/>
  <c r="AH70" s="1"/>
  <c r="AG22"/>
  <c r="AH22" s="1"/>
  <c r="AG32"/>
  <c r="AH32" s="1"/>
  <c r="AG10"/>
  <c r="AH10" s="1"/>
  <c r="AG33"/>
  <c r="AH33" s="1"/>
  <c r="AG64"/>
  <c r="AH64" s="1"/>
  <c r="U7"/>
  <c r="U8"/>
  <c r="U15"/>
  <c r="U21"/>
  <c r="Z27"/>
  <c r="AF27" s="1"/>
  <c r="AG27" s="1"/>
  <c r="AH27" s="1"/>
  <c r="U31"/>
  <c r="AG31" s="1"/>
  <c r="AH31" s="1"/>
  <c r="Z37"/>
  <c r="AF37" s="1"/>
  <c r="AG37" s="1"/>
  <c r="AH37" s="1"/>
  <c r="Z56"/>
  <c r="AF56" s="1"/>
  <c r="AG56" s="1"/>
  <c r="AH56" s="1"/>
  <c r="U62"/>
  <c r="AG62" s="1"/>
  <c r="AH62" s="1"/>
  <c r="U67"/>
  <c r="AG67" s="1"/>
  <c r="AH67" s="1"/>
  <c r="U11"/>
  <c r="AG11" s="1"/>
  <c r="AH11" s="1"/>
  <c r="Z11"/>
  <c r="AF11" s="1"/>
  <c r="Z17"/>
  <c r="AF17" s="1"/>
  <c r="U17"/>
  <c r="U69"/>
  <c r="Z69"/>
  <c r="AF69" s="1"/>
  <c r="AG40"/>
  <c r="AH40" s="1"/>
  <c r="AG41"/>
  <c r="AH41" s="1"/>
  <c r="AG58"/>
  <c r="AH58" s="1"/>
  <c r="AG59"/>
  <c r="AH59" s="1"/>
  <c r="AG46"/>
  <c r="AH46" s="1"/>
  <c r="AF7"/>
  <c r="Z12"/>
  <c r="AF12" s="1"/>
  <c r="U12"/>
  <c r="AG8"/>
  <c r="AH8" s="1"/>
  <c r="AG15"/>
  <c r="AH15" s="1"/>
  <c r="AG21"/>
  <c r="AH21" s="1"/>
  <c r="Z28"/>
  <c r="AF28" s="1"/>
  <c r="AG28" s="1"/>
  <c r="AH28" s="1"/>
  <c r="Z29"/>
  <c r="AF29" s="1"/>
  <c r="AG29" s="1"/>
  <c r="AH29" s="1"/>
  <c r="Z13"/>
  <c r="AF13" s="1"/>
  <c r="AG13" s="1"/>
  <c r="AH13" s="1"/>
  <c r="Z14"/>
  <c r="AF14" s="1"/>
  <c r="AG14" s="1"/>
  <c r="AH14" s="1"/>
  <c r="Z20"/>
  <c r="AF20" s="1"/>
  <c r="AG20" s="1"/>
  <c r="AH20" s="1"/>
  <c r="Z24"/>
  <c r="AF24" s="1"/>
  <c r="AG24" s="1"/>
  <c r="AH24" s="1"/>
  <c r="Z30"/>
  <c r="AF30" s="1"/>
  <c r="AG30" s="1"/>
  <c r="AH30" s="1"/>
  <c r="Z34"/>
  <c r="AF34" s="1"/>
  <c r="AG34" s="1"/>
  <c r="AH34" s="1"/>
  <c r="Z38"/>
  <c r="AF38" s="1"/>
  <c r="AG38" s="1"/>
  <c r="AH38" s="1"/>
  <c r="Z44"/>
  <c r="AF44" s="1"/>
  <c r="AG44" s="1"/>
  <c r="AH44" s="1"/>
  <c r="Z48"/>
  <c r="AF48" s="1"/>
  <c r="AG48" s="1"/>
  <c r="AH48" s="1"/>
  <c r="Z53"/>
  <c r="AF53" s="1"/>
  <c r="AG53" s="1"/>
  <c r="AH53" s="1"/>
  <c r="U57"/>
  <c r="AG57" s="1"/>
  <c r="AH57" s="1"/>
  <c r="Z61"/>
  <c r="AF61" s="1"/>
  <c r="AG61" s="1"/>
  <c r="AH61" s="1"/>
  <c r="Z65"/>
  <c r="AF65" s="1"/>
  <c r="AG65" s="1"/>
  <c r="AH65" s="1"/>
  <c r="Z71"/>
  <c r="AF71" s="1"/>
  <c r="AG71" s="1"/>
  <c r="AH71" s="1"/>
  <c r="S73"/>
  <c r="R11" i="897"/>
  <c r="R73"/>
  <c r="D76" s="1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R77"/>
  <c r="R80" s="1"/>
  <c r="M77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AF72"/>
  <c r="AG72" s="1"/>
  <c r="AH72" s="1"/>
  <c r="Z72"/>
  <c r="S71"/>
  <c r="Q71"/>
  <c r="S70"/>
  <c r="Z70" s="1"/>
  <c r="AF70" s="1"/>
  <c r="Q70"/>
  <c r="S69"/>
  <c r="Z69" s="1"/>
  <c r="AF69" s="1"/>
  <c r="Q69"/>
  <c r="U68"/>
  <c r="S68"/>
  <c r="Z68" s="1"/>
  <c r="AF68" s="1"/>
  <c r="Q68"/>
  <c r="S67"/>
  <c r="Z67" s="1"/>
  <c r="AF67" s="1"/>
  <c r="Q67"/>
  <c r="AG66"/>
  <c r="AH66" s="1"/>
  <c r="AF66"/>
  <c r="Z66"/>
  <c r="S65"/>
  <c r="Z65" s="1"/>
  <c r="AF65" s="1"/>
  <c r="Q65"/>
  <c r="U64"/>
  <c r="S64"/>
  <c r="Z64" s="1"/>
  <c r="AF64" s="1"/>
  <c r="Q64"/>
  <c r="U63"/>
  <c r="S63"/>
  <c r="Z63" s="1"/>
  <c r="AF63" s="1"/>
  <c r="Q63"/>
  <c r="S62"/>
  <c r="Z62" s="1"/>
  <c r="AF62" s="1"/>
  <c r="Q62"/>
  <c r="S61"/>
  <c r="Z61" s="1"/>
  <c r="AF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U57" s="1"/>
  <c r="Q57"/>
  <c r="S56"/>
  <c r="Z56" s="1"/>
  <c r="AF56" s="1"/>
  <c r="Q56"/>
  <c r="S55"/>
  <c r="Z55" s="1"/>
  <c r="AF55" s="1"/>
  <c r="Q55"/>
  <c r="S54"/>
  <c r="Z54" s="1"/>
  <c r="AF54" s="1"/>
  <c r="Q54"/>
  <c r="S53"/>
  <c r="Z53" s="1"/>
  <c r="AF53" s="1"/>
  <c r="Q53"/>
  <c r="Z52"/>
  <c r="AF52" s="1"/>
  <c r="U52"/>
  <c r="S52"/>
  <c r="Q52"/>
  <c r="Z51"/>
  <c r="AF51" s="1"/>
  <c r="U51"/>
  <c r="S51"/>
  <c r="Q51"/>
  <c r="T50"/>
  <c r="S50"/>
  <c r="Z50" s="1"/>
  <c r="AF50" s="1"/>
  <c r="Q50"/>
  <c r="U49"/>
  <c r="AG49" s="1"/>
  <c r="AH49" s="1"/>
  <c r="S49"/>
  <c r="Z49" s="1"/>
  <c r="AF49" s="1"/>
  <c r="Q49"/>
  <c r="S48"/>
  <c r="Z48" s="1"/>
  <c r="AF48" s="1"/>
  <c r="Q48"/>
  <c r="S47"/>
  <c r="Z47" s="1"/>
  <c r="AF47" s="1"/>
  <c r="Q47"/>
  <c r="S46"/>
  <c r="Z46" s="1"/>
  <c r="AF46" s="1"/>
  <c r="Q46"/>
  <c r="U45"/>
  <c r="AG45" s="1"/>
  <c r="AH45" s="1"/>
  <c r="S45"/>
  <c r="Z45" s="1"/>
  <c r="AF45" s="1"/>
  <c r="Q45"/>
  <c r="S44"/>
  <c r="Z44" s="1"/>
  <c r="AF44" s="1"/>
  <c r="Q44"/>
  <c r="AF43"/>
  <c r="AG43" s="1"/>
  <c r="AH43" s="1"/>
  <c r="Z43"/>
  <c r="S42"/>
  <c r="Z42" s="1"/>
  <c r="AF42" s="1"/>
  <c r="Q42"/>
  <c r="S41"/>
  <c r="Z41" s="1"/>
  <c r="AF41" s="1"/>
  <c r="Q41"/>
  <c r="T40"/>
  <c r="Q40"/>
  <c r="S40"/>
  <c r="U39"/>
  <c r="S39"/>
  <c r="Z39" s="1"/>
  <c r="AF39" s="1"/>
  <c r="Q39"/>
  <c r="S38"/>
  <c r="Z38" s="1"/>
  <c r="AF38" s="1"/>
  <c r="Q38"/>
  <c r="S37"/>
  <c r="Z37" s="1"/>
  <c r="AF37" s="1"/>
  <c r="Q37"/>
  <c r="U36"/>
  <c r="S36"/>
  <c r="Z36" s="1"/>
  <c r="AF36" s="1"/>
  <c r="Q36"/>
  <c r="S35"/>
  <c r="Z35" s="1"/>
  <c r="AF35" s="1"/>
  <c r="Q35"/>
  <c r="S34"/>
  <c r="Z34" s="1"/>
  <c r="AF34" s="1"/>
  <c r="Q34"/>
  <c r="S33"/>
  <c r="Z33" s="1"/>
  <c r="AF33" s="1"/>
  <c r="Q33"/>
  <c r="S32"/>
  <c r="Z32" s="1"/>
  <c r="AF32" s="1"/>
  <c r="Q32"/>
  <c r="S31"/>
  <c r="U31" s="1"/>
  <c r="Q31"/>
  <c r="U30"/>
  <c r="AG30" s="1"/>
  <c r="AH30" s="1"/>
  <c r="S30"/>
  <c r="Z30" s="1"/>
  <c r="AF30" s="1"/>
  <c r="Q30"/>
  <c r="T29"/>
  <c r="S29"/>
  <c r="Z29" s="1"/>
  <c r="AF29" s="1"/>
  <c r="Q29"/>
  <c r="T28"/>
  <c r="T73" s="1"/>
  <c r="S28"/>
  <c r="Z28" s="1"/>
  <c r="AF28" s="1"/>
  <c r="Q28"/>
  <c r="S27"/>
  <c r="Z27" s="1"/>
  <c r="AF27" s="1"/>
  <c r="Q27"/>
  <c r="S26"/>
  <c r="Z26" s="1"/>
  <c r="AF26" s="1"/>
  <c r="Q26"/>
  <c r="S25"/>
  <c r="Z25" s="1"/>
  <c r="AF25" s="1"/>
  <c r="Q25"/>
  <c r="S24"/>
  <c r="U24" s="1"/>
  <c r="Q24"/>
  <c r="U23"/>
  <c r="AG23" s="1"/>
  <c r="AH23" s="1"/>
  <c r="S23"/>
  <c r="Z23" s="1"/>
  <c r="AF23" s="1"/>
  <c r="Q23"/>
  <c r="S22"/>
  <c r="Z22" s="1"/>
  <c r="AF22" s="1"/>
  <c r="Q22"/>
  <c r="S21"/>
  <c r="U21" s="1"/>
  <c r="Q21"/>
  <c r="S20"/>
  <c r="U20" s="1"/>
  <c r="Q20"/>
  <c r="S19"/>
  <c r="Z19" s="1"/>
  <c r="AF19" s="1"/>
  <c r="Q19"/>
  <c r="AG18"/>
  <c r="AH18" s="1"/>
  <c r="AF18"/>
  <c r="Z18"/>
  <c r="S17"/>
  <c r="Z17" s="1"/>
  <c r="AF17" s="1"/>
  <c r="Q17"/>
  <c r="S16"/>
  <c r="Z16" s="1"/>
  <c r="AF16" s="1"/>
  <c r="Q16"/>
  <c r="U15"/>
  <c r="S15"/>
  <c r="Z15" s="1"/>
  <c r="AF15" s="1"/>
  <c r="Q15"/>
  <c r="Q14"/>
  <c r="S14"/>
  <c r="S13"/>
  <c r="U13" s="1"/>
  <c r="Q13"/>
  <c r="Q12"/>
  <c r="S11"/>
  <c r="U11" s="1"/>
  <c r="Q11"/>
  <c r="S10"/>
  <c r="Z10" s="1"/>
  <c r="AF10" s="1"/>
  <c r="Q10"/>
  <c r="U9"/>
  <c r="S9"/>
  <c r="Z9" s="1"/>
  <c r="AF9" s="1"/>
  <c r="Q9"/>
  <c r="S8"/>
  <c r="Z8" s="1"/>
  <c r="AF8" s="1"/>
  <c r="Q8"/>
  <c r="S7"/>
  <c r="Z7" s="1"/>
  <c r="Q7"/>
  <c r="R77" i="896"/>
  <c r="AG12" i="900" l="1"/>
  <c r="AH12" s="1"/>
  <c r="U73"/>
  <c r="AF73"/>
  <c r="AG7"/>
  <c r="Z73" i="899"/>
  <c r="AF7"/>
  <c r="AF73" s="1"/>
  <c r="U73"/>
  <c r="AG7" i="898"/>
  <c r="AH7" s="1"/>
  <c r="AG69"/>
  <c r="AH69" s="1"/>
  <c r="AG17"/>
  <c r="AH17" s="1"/>
  <c r="Z73"/>
  <c r="U73"/>
  <c r="AG12"/>
  <c r="AH12" s="1"/>
  <c r="AF73"/>
  <c r="X118" i="897"/>
  <c r="U8"/>
  <c r="AG8" s="1"/>
  <c r="AH8" s="1"/>
  <c r="U50"/>
  <c r="AG50" s="1"/>
  <c r="AH50" s="1"/>
  <c r="S12"/>
  <c r="Z12" s="1"/>
  <c r="AF12" s="1"/>
  <c r="U12"/>
  <c r="AG12" s="1"/>
  <c r="AH12" s="1"/>
  <c r="Z31"/>
  <c r="AF31" s="1"/>
  <c r="U27"/>
  <c r="AG27" s="1"/>
  <c r="AH27" s="1"/>
  <c r="U32"/>
  <c r="AG32" s="1"/>
  <c r="AH32" s="1"/>
  <c r="U35"/>
  <c r="U38"/>
  <c r="AG38" s="1"/>
  <c r="AH38" s="1"/>
  <c r="U54"/>
  <c r="AG54" s="1"/>
  <c r="AH54" s="1"/>
  <c r="U62"/>
  <c r="AG62" s="1"/>
  <c r="AH62" s="1"/>
  <c r="Z24"/>
  <c r="AF24" s="1"/>
  <c r="AG24" s="1"/>
  <c r="AH24" s="1"/>
  <c r="U16"/>
  <c r="AG16" s="1"/>
  <c r="AH16" s="1"/>
  <c r="U19"/>
  <c r="AG19" s="1"/>
  <c r="AH19" s="1"/>
  <c r="U25"/>
  <c r="Q73"/>
  <c r="E74" s="1"/>
  <c r="Z13"/>
  <c r="AF13" s="1"/>
  <c r="AG13" s="1"/>
  <c r="AH13" s="1"/>
  <c r="Z20"/>
  <c r="AF20" s="1"/>
  <c r="AG20" s="1"/>
  <c r="AH20" s="1"/>
  <c r="Z21"/>
  <c r="AF21" s="1"/>
  <c r="AG21" s="1"/>
  <c r="AH21" s="1"/>
  <c r="U7"/>
  <c r="U34"/>
  <c r="AG34" s="1"/>
  <c r="AH34" s="1"/>
  <c r="U41"/>
  <c r="AG41" s="1"/>
  <c r="AH41" s="1"/>
  <c r="U42"/>
  <c r="AG42" s="1"/>
  <c r="AH42" s="1"/>
  <c r="U46"/>
  <c r="AG46" s="1"/>
  <c r="AH46" s="1"/>
  <c r="U47"/>
  <c r="AG47" s="1"/>
  <c r="AH47" s="1"/>
  <c r="U55"/>
  <c r="AG55" s="1"/>
  <c r="AH55" s="1"/>
  <c r="U56"/>
  <c r="AG56" s="1"/>
  <c r="AH56" s="1"/>
  <c r="U59"/>
  <c r="AG59" s="1"/>
  <c r="AH59" s="1"/>
  <c r="U60"/>
  <c r="AG60" s="1"/>
  <c r="AH60" s="1"/>
  <c r="U67"/>
  <c r="U69"/>
  <c r="U70"/>
  <c r="AG70" s="1"/>
  <c r="AH70" s="1"/>
  <c r="AG9"/>
  <c r="AH9" s="1"/>
  <c r="AG35"/>
  <c r="AH35" s="1"/>
  <c r="AG36"/>
  <c r="AH36" s="1"/>
  <c r="AG68"/>
  <c r="AH68" s="1"/>
  <c r="AG25"/>
  <c r="AH25" s="1"/>
  <c r="AG52"/>
  <c r="AH52" s="1"/>
  <c r="AG64"/>
  <c r="AH64" s="1"/>
  <c r="Z14"/>
  <c r="AF14" s="1"/>
  <c r="U14"/>
  <c r="U71"/>
  <c r="Z71"/>
  <c r="AF71" s="1"/>
  <c r="AG15"/>
  <c r="AH15" s="1"/>
  <c r="AG51"/>
  <c r="AH51" s="1"/>
  <c r="AG63"/>
  <c r="AH63" s="1"/>
  <c r="AG31"/>
  <c r="AH31" s="1"/>
  <c r="AG39"/>
  <c r="AH39" s="1"/>
  <c r="AG67"/>
  <c r="AH67" s="1"/>
  <c r="AG69"/>
  <c r="AH69" s="1"/>
  <c r="U40"/>
  <c r="Z40"/>
  <c r="AF40" s="1"/>
  <c r="AF7"/>
  <c r="D73"/>
  <c r="E75" s="1"/>
  <c r="C73"/>
  <c r="Z11"/>
  <c r="AF11" s="1"/>
  <c r="AG11" s="1"/>
  <c r="AH11" s="1"/>
  <c r="U10"/>
  <c r="AG10" s="1"/>
  <c r="AH10" s="1"/>
  <c r="U17"/>
  <c r="AG17" s="1"/>
  <c r="AH17" s="1"/>
  <c r="U22"/>
  <c r="AG22" s="1"/>
  <c r="AH22" s="1"/>
  <c r="U26"/>
  <c r="AG26" s="1"/>
  <c r="AH26" s="1"/>
  <c r="U28"/>
  <c r="AG28" s="1"/>
  <c r="AH28" s="1"/>
  <c r="U29"/>
  <c r="AG29" s="1"/>
  <c r="AH29" s="1"/>
  <c r="U33"/>
  <c r="AG33" s="1"/>
  <c r="AH33" s="1"/>
  <c r="U37"/>
  <c r="AG37" s="1"/>
  <c r="AH37" s="1"/>
  <c r="U44"/>
  <c r="AG44" s="1"/>
  <c r="AH44" s="1"/>
  <c r="U48"/>
  <c r="AG48" s="1"/>
  <c r="AH48" s="1"/>
  <c r="U53"/>
  <c r="AG53" s="1"/>
  <c r="AH53" s="1"/>
  <c r="U61"/>
  <c r="AG61" s="1"/>
  <c r="AH61" s="1"/>
  <c r="U65"/>
  <c r="AG65" s="1"/>
  <c r="AH65" s="1"/>
  <c r="Z57"/>
  <c r="AF57" s="1"/>
  <c r="AG57" s="1"/>
  <c r="AH57" s="1"/>
  <c r="C28" i="896"/>
  <c r="C73" s="1"/>
  <c r="C40"/>
  <c r="F77"/>
  <c r="R76"/>
  <c r="R75"/>
  <c r="R74"/>
  <c r="R71"/>
  <c r="R69"/>
  <c r="R11"/>
  <c r="R14"/>
  <c r="R73" s="1"/>
  <c r="D76" s="1"/>
  <c r="S69"/>
  <c r="U69" s="1"/>
  <c r="D14"/>
  <c r="D73" s="1"/>
  <c r="E75" s="1"/>
  <c r="X14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M77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AG72"/>
  <c r="AH72" s="1"/>
  <c r="AF72"/>
  <c r="Z72"/>
  <c r="S71"/>
  <c r="U71" s="1"/>
  <c r="Q71"/>
  <c r="U70"/>
  <c r="S70"/>
  <c r="Z70" s="1"/>
  <c r="AF70" s="1"/>
  <c r="Q70"/>
  <c r="Q69"/>
  <c r="S68"/>
  <c r="Z68" s="1"/>
  <c r="AF68" s="1"/>
  <c r="Q68"/>
  <c r="S67"/>
  <c r="Z67" s="1"/>
  <c r="AF67" s="1"/>
  <c r="Q67"/>
  <c r="AH66"/>
  <c r="AG66"/>
  <c r="AF66"/>
  <c r="Z66"/>
  <c r="U65"/>
  <c r="AG65" s="1"/>
  <c r="AH65" s="1"/>
  <c r="S65"/>
  <c r="Z65" s="1"/>
  <c r="AF65" s="1"/>
  <c r="Q65"/>
  <c r="S64"/>
  <c r="U64" s="1"/>
  <c r="Q64"/>
  <c r="S63"/>
  <c r="Z63" s="1"/>
  <c r="AF63" s="1"/>
  <c r="Q63"/>
  <c r="S62"/>
  <c r="Z62" s="1"/>
  <c r="AF62" s="1"/>
  <c r="Q62"/>
  <c r="S61"/>
  <c r="Z61" s="1"/>
  <c r="AF61" s="1"/>
  <c r="Q61"/>
  <c r="S60"/>
  <c r="U60" s="1"/>
  <c r="Q60"/>
  <c r="S59"/>
  <c r="Z59" s="1"/>
  <c r="AF59" s="1"/>
  <c r="Q59"/>
  <c r="Z58"/>
  <c r="AF58" s="1"/>
  <c r="U58"/>
  <c r="Q58"/>
  <c r="T57"/>
  <c r="S57"/>
  <c r="U57" s="1"/>
  <c r="Q57"/>
  <c r="S56"/>
  <c r="U56" s="1"/>
  <c r="Q56"/>
  <c r="S55"/>
  <c r="U55" s="1"/>
  <c r="Q55"/>
  <c r="Z54"/>
  <c r="AF54" s="1"/>
  <c r="S54"/>
  <c r="U54" s="1"/>
  <c r="Q54"/>
  <c r="S53"/>
  <c r="Z53" s="1"/>
  <c r="AF53" s="1"/>
  <c r="Q53"/>
  <c r="S52"/>
  <c r="U52" s="1"/>
  <c r="Q52"/>
  <c r="U51"/>
  <c r="S51"/>
  <c r="Z51" s="1"/>
  <c r="AF51" s="1"/>
  <c r="Q51"/>
  <c r="T50"/>
  <c r="S50"/>
  <c r="Z50" s="1"/>
  <c r="AF50" s="1"/>
  <c r="Q50"/>
  <c r="S49"/>
  <c r="Z49" s="1"/>
  <c r="AF49" s="1"/>
  <c r="Q49"/>
  <c r="S48"/>
  <c r="Z48" s="1"/>
  <c r="AF48" s="1"/>
  <c r="Q48"/>
  <c r="S47"/>
  <c r="U47" s="1"/>
  <c r="Q47"/>
  <c r="S46"/>
  <c r="Z46" s="1"/>
  <c r="AF46" s="1"/>
  <c r="Q46"/>
  <c r="S45"/>
  <c r="Z45" s="1"/>
  <c r="AF45" s="1"/>
  <c r="Q45"/>
  <c r="S44"/>
  <c r="Z44" s="1"/>
  <c r="AF44" s="1"/>
  <c r="Q44"/>
  <c r="AG43"/>
  <c r="AH43" s="1"/>
  <c r="AF43"/>
  <c r="Z43"/>
  <c r="S42"/>
  <c r="U42" s="1"/>
  <c r="Q42"/>
  <c r="S41"/>
  <c r="Z41" s="1"/>
  <c r="AF41" s="1"/>
  <c r="Q41"/>
  <c r="T40"/>
  <c r="S40"/>
  <c r="Z40" s="1"/>
  <c r="AF40" s="1"/>
  <c r="Q40"/>
  <c r="S39"/>
  <c r="Z39" s="1"/>
  <c r="AF39" s="1"/>
  <c r="Q39"/>
  <c r="U38"/>
  <c r="AG38" s="1"/>
  <c r="AH38" s="1"/>
  <c r="S38"/>
  <c r="Z38" s="1"/>
  <c r="AF38" s="1"/>
  <c r="Q38"/>
  <c r="S37"/>
  <c r="U37" s="1"/>
  <c r="Q37"/>
  <c r="S36"/>
  <c r="Z36" s="1"/>
  <c r="AF36" s="1"/>
  <c r="Q36"/>
  <c r="S35"/>
  <c r="Z35" s="1"/>
  <c r="AF35" s="1"/>
  <c r="Q35"/>
  <c r="S34"/>
  <c r="Z34" s="1"/>
  <c r="AF34" s="1"/>
  <c r="Q34"/>
  <c r="S33"/>
  <c r="U33" s="1"/>
  <c r="Q33"/>
  <c r="S32"/>
  <c r="Z32" s="1"/>
  <c r="AF32" s="1"/>
  <c r="Q32"/>
  <c r="S31"/>
  <c r="Z31" s="1"/>
  <c r="AF31" s="1"/>
  <c r="Q31"/>
  <c r="S30"/>
  <c r="Z30" s="1"/>
  <c r="AF30" s="1"/>
  <c r="Q30"/>
  <c r="T29"/>
  <c r="S29"/>
  <c r="U29" s="1"/>
  <c r="Q29"/>
  <c r="T28"/>
  <c r="T73" s="1"/>
  <c r="Q28"/>
  <c r="S27"/>
  <c r="U27" s="1"/>
  <c r="Q27"/>
  <c r="S26"/>
  <c r="Z26" s="1"/>
  <c r="AF26" s="1"/>
  <c r="Q26"/>
  <c r="S25"/>
  <c r="U25" s="1"/>
  <c r="Q25"/>
  <c r="U24"/>
  <c r="AG24" s="1"/>
  <c r="AH24" s="1"/>
  <c r="S24"/>
  <c r="Z24" s="1"/>
  <c r="AF24" s="1"/>
  <c r="Q24"/>
  <c r="S23"/>
  <c r="U23" s="1"/>
  <c r="Q23"/>
  <c r="S22"/>
  <c r="Z22" s="1"/>
  <c r="AF22" s="1"/>
  <c r="Q22"/>
  <c r="S21"/>
  <c r="Z21" s="1"/>
  <c r="AF21" s="1"/>
  <c r="Q21"/>
  <c r="S20"/>
  <c r="Z20" s="1"/>
  <c r="AF20" s="1"/>
  <c r="Q20"/>
  <c r="S19"/>
  <c r="U19" s="1"/>
  <c r="Q19"/>
  <c r="AF18"/>
  <c r="AG18" s="1"/>
  <c r="AH18" s="1"/>
  <c r="Z18"/>
  <c r="S17"/>
  <c r="Z17" s="1"/>
  <c r="AF17" s="1"/>
  <c r="Q17"/>
  <c r="S16"/>
  <c r="Z16" s="1"/>
  <c r="AF16" s="1"/>
  <c r="Q16"/>
  <c r="S15"/>
  <c r="Z15" s="1"/>
  <c r="AF15" s="1"/>
  <c r="Q15"/>
  <c r="Q14"/>
  <c r="S13"/>
  <c r="U13" s="1"/>
  <c r="Q13"/>
  <c r="S12"/>
  <c r="Q12"/>
  <c r="Q11"/>
  <c r="U10"/>
  <c r="S10"/>
  <c r="Z10" s="1"/>
  <c r="AF10" s="1"/>
  <c r="Q10"/>
  <c r="S9"/>
  <c r="Z9" s="1"/>
  <c r="AF9" s="1"/>
  <c r="Q9"/>
  <c r="S8"/>
  <c r="Z8" s="1"/>
  <c r="AF8" s="1"/>
  <c r="Q8"/>
  <c r="S7"/>
  <c r="U7" s="1"/>
  <c r="Q7"/>
  <c r="R76" i="895"/>
  <c r="R11"/>
  <c r="R14"/>
  <c r="R71"/>
  <c r="R75"/>
  <c r="R74"/>
  <c r="AH7" i="900" l="1"/>
  <c r="AH73" s="1"/>
  <c r="AG73"/>
  <c r="AG7" i="899"/>
  <c r="AG73" i="898"/>
  <c r="AH73"/>
  <c r="S73" i="897"/>
  <c r="U73"/>
  <c r="AG14"/>
  <c r="AH14" s="1"/>
  <c r="AG71"/>
  <c r="AH71" s="1"/>
  <c r="AF73"/>
  <c r="AG40"/>
  <c r="AH40" s="1"/>
  <c r="AG7"/>
  <c r="Z73"/>
  <c r="S28" i="896"/>
  <c r="U28" s="1"/>
  <c r="X118"/>
  <c r="R80"/>
  <c r="U32"/>
  <c r="S14"/>
  <c r="U14" s="1"/>
  <c r="U31"/>
  <c r="U49"/>
  <c r="Z55"/>
  <c r="AF55" s="1"/>
  <c r="U59"/>
  <c r="Q73"/>
  <c r="E74" s="1"/>
  <c r="Z25"/>
  <c r="AF25" s="1"/>
  <c r="AG25" s="1"/>
  <c r="AH25" s="1"/>
  <c r="U40"/>
  <c r="AG40" s="1"/>
  <c r="AH40" s="1"/>
  <c r="U9"/>
  <c r="AG9" s="1"/>
  <c r="AH9" s="1"/>
  <c r="U26"/>
  <c r="U30"/>
  <c r="AG30" s="1"/>
  <c r="AH30" s="1"/>
  <c r="U39"/>
  <c r="U41"/>
  <c r="AG41" s="1"/>
  <c r="AH41" s="1"/>
  <c r="U48"/>
  <c r="AG48" s="1"/>
  <c r="AH48" s="1"/>
  <c r="U50"/>
  <c r="AG50" s="1"/>
  <c r="AH50" s="1"/>
  <c r="U53"/>
  <c r="AG53" s="1"/>
  <c r="AH53" s="1"/>
  <c r="U61"/>
  <c r="U67"/>
  <c r="AG67" s="1"/>
  <c r="AH67" s="1"/>
  <c r="U68"/>
  <c r="AG55"/>
  <c r="AH55" s="1"/>
  <c r="AG51"/>
  <c r="AH51" s="1"/>
  <c r="AG26"/>
  <c r="AH26" s="1"/>
  <c r="AG68"/>
  <c r="AH68" s="1"/>
  <c r="U8"/>
  <c r="AG8" s="1"/>
  <c r="AH8" s="1"/>
  <c r="U16"/>
  <c r="AG16" s="1"/>
  <c r="AH16" s="1"/>
  <c r="U17"/>
  <c r="AG17" s="1"/>
  <c r="AH17" s="1"/>
  <c r="U21"/>
  <c r="AG21" s="1"/>
  <c r="AH21" s="1"/>
  <c r="U22"/>
  <c r="AG22" s="1"/>
  <c r="AH22" s="1"/>
  <c r="U35"/>
  <c r="AG35" s="1"/>
  <c r="AH35" s="1"/>
  <c r="U36"/>
  <c r="AG36" s="1"/>
  <c r="AH36" s="1"/>
  <c r="U45"/>
  <c r="AG45" s="1"/>
  <c r="AH45" s="1"/>
  <c r="U46"/>
  <c r="AG46" s="1"/>
  <c r="AH46" s="1"/>
  <c r="U62"/>
  <c r="AG62" s="1"/>
  <c r="AH62" s="1"/>
  <c r="U63"/>
  <c r="AG63" s="1"/>
  <c r="AH63" s="1"/>
  <c r="AG10"/>
  <c r="AH10" s="1"/>
  <c r="AG32"/>
  <c r="AH32" s="1"/>
  <c r="AG59"/>
  <c r="AH59" s="1"/>
  <c r="U15"/>
  <c r="AG15" s="1"/>
  <c r="AH15" s="1"/>
  <c r="U20"/>
  <c r="AG20" s="1"/>
  <c r="AH20" s="1"/>
  <c r="U34"/>
  <c r="AG34" s="1"/>
  <c r="AH34" s="1"/>
  <c r="U44"/>
  <c r="AG44" s="1"/>
  <c r="AH44" s="1"/>
  <c r="AG31"/>
  <c r="AH31" s="1"/>
  <c r="AG39"/>
  <c r="AH39" s="1"/>
  <c r="AG49"/>
  <c r="AH49" s="1"/>
  <c r="AG58"/>
  <c r="AH58" s="1"/>
  <c r="Z12"/>
  <c r="AF12" s="1"/>
  <c r="U12"/>
  <c r="AG54"/>
  <c r="AH54" s="1"/>
  <c r="AG61"/>
  <c r="AH61" s="1"/>
  <c r="AG70"/>
  <c r="AH70" s="1"/>
  <c r="Z7"/>
  <c r="Z13"/>
  <c r="AF13" s="1"/>
  <c r="AG13" s="1"/>
  <c r="AH13" s="1"/>
  <c r="Z14"/>
  <c r="AF14" s="1"/>
  <c r="AG14" s="1"/>
  <c r="AH14" s="1"/>
  <c r="Z19"/>
  <c r="AF19" s="1"/>
  <c r="AG19" s="1"/>
  <c r="AH19" s="1"/>
  <c r="Z23"/>
  <c r="AF23" s="1"/>
  <c r="AG23" s="1"/>
  <c r="AH23" s="1"/>
  <c r="Z27"/>
  <c r="AF27" s="1"/>
  <c r="AG27" s="1"/>
  <c r="AH27" s="1"/>
  <c r="Z28"/>
  <c r="AF28" s="1"/>
  <c r="AG28" s="1"/>
  <c r="AH28" s="1"/>
  <c r="Z29"/>
  <c r="AF29" s="1"/>
  <c r="AG29" s="1"/>
  <c r="AH29" s="1"/>
  <c r="Z33"/>
  <c r="AF33" s="1"/>
  <c r="AG33" s="1"/>
  <c r="AH33" s="1"/>
  <c r="Z37"/>
  <c r="AF37" s="1"/>
  <c r="AG37" s="1"/>
  <c r="AH37" s="1"/>
  <c r="Z42"/>
  <c r="AF42" s="1"/>
  <c r="AG42" s="1"/>
  <c r="AH42" s="1"/>
  <c r="Z47"/>
  <c r="AF47" s="1"/>
  <c r="AG47" s="1"/>
  <c r="AH47" s="1"/>
  <c r="Z52"/>
  <c r="AF52" s="1"/>
  <c r="AG52" s="1"/>
  <c r="AH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Z69"/>
  <c r="AF69" s="1"/>
  <c r="AG69" s="1"/>
  <c r="AH69" s="1"/>
  <c r="Z71"/>
  <c r="AF71" s="1"/>
  <c r="AG71" s="1"/>
  <c r="AH71" s="1"/>
  <c r="S11"/>
  <c r="R12" i="895"/>
  <c r="D71"/>
  <c r="AG73" i="899" l="1"/>
  <c r="AH7"/>
  <c r="AH73" s="1"/>
  <c r="AG73" i="897"/>
  <c r="AH7"/>
  <c r="AH73" s="1"/>
  <c r="S73" i="896"/>
  <c r="AG12"/>
  <c r="AH12" s="1"/>
  <c r="AF7"/>
  <c r="U11"/>
  <c r="Z11"/>
  <c r="AF11" s="1"/>
  <c r="X145" i="89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M77"/>
  <c r="F77"/>
  <c r="R80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D73"/>
  <c r="E75" s="1"/>
  <c r="C73"/>
  <c r="AG72"/>
  <c r="AH72" s="1"/>
  <c r="AF72"/>
  <c r="Z72"/>
  <c r="S71"/>
  <c r="U71" s="1"/>
  <c r="Q71"/>
  <c r="G73"/>
  <c r="S70"/>
  <c r="U70" s="1"/>
  <c r="Q70"/>
  <c r="U69"/>
  <c r="S69"/>
  <c r="Z69" s="1"/>
  <c r="AF69" s="1"/>
  <c r="Q69"/>
  <c r="U68"/>
  <c r="S68"/>
  <c r="Z68" s="1"/>
  <c r="AF68" s="1"/>
  <c r="Q68"/>
  <c r="S67"/>
  <c r="Z67" s="1"/>
  <c r="AF67" s="1"/>
  <c r="Q67"/>
  <c r="AG66"/>
  <c r="AH66" s="1"/>
  <c r="AF66"/>
  <c r="Z66"/>
  <c r="S65"/>
  <c r="U65" s="1"/>
  <c r="Q65"/>
  <c r="S64"/>
  <c r="Z64" s="1"/>
  <c r="AF64" s="1"/>
  <c r="Q64"/>
  <c r="U63"/>
  <c r="S63"/>
  <c r="Z63" s="1"/>
  <c r="AF63" s="1"/>
  <c r="Q63"/>
  <c r="S62"/>
  <c r="Z62" s="1"/>
  <c r="AF62" s="1"/>
  <c r="Q62"/>
  <c r="S61"/>
  <c r="U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Z57" s="1"/>
  <c r="AF57" s="1"/>
  <c r="Q57"/>
  <c r="S56"/>
  <c r="Z56" s="1"/>
  <c r="AF56" s="1"/>
  <c r="Q56"/>
  <c r="S55"/>
  <c r="Z55" s="1"/>
  <c r="AF55" s="1"/>
  <c r="Q55"/>
  <c r="S54"/>
  <c r="Z54" s="1"/>
  <c r="AF54" s="1"/>
  <c r="Q54"/>
  <c r="S53"/>
  <c r="U53" s="1"/>
  <c r="Q53"/>
  <c r="U52"/>
  <c r="S52"/>
  <c r="Z52" s="1"/>
  <c r="AF52" s="1"/>
  <c r="Q52"/>
  <c r="S51"/>
  <c r="Z51" s="1"/>
  <c r="AF51" s="1"/>
  <c r="Q51"/>
  <c r="T50"/>
  <c r="S50"/>
  <c r="Z50" s="1"/>
  <c r="AF50" s="1"/>
  <c r="Q50"/>
  <c r="S49"/>
  <c r="Z49" s="1"/>
  <c r="AF49" s="1"/>
  <c r="Q49"/>
  <c r="S48"/>
  <c r="U48" s="1"/>
  <c r="Q48"/>
  <c r="S47"/>
  <c r="Z47" s="1"/>
  <c r="AF47" s="1"/>
  <c r="Q47"/>
  <c r="S46"/>
  <c r="Z46" s="1"/>
  <c r="AF46" s="1"/>
  <c r="Q46"/>
  <c r="S45"/>
  <c r="Z45" s="1"/>
  <c r="AF45" s="1"/>
  <c r="Q45"/>
  <c r="S44"/>
  <c r="U44" s="1"/>
  <c r="Q44"/>
  <c r="AF43"/>
  <c r="AG43" s="1"/>
  <c r="AH43" s="1"/>
  <c r="Z43"/>
  <c r="S42"/>
  <c r="Z42" s="1"/>
  <c r="AF42" s="1"/>
  <c r="Q42"/>
  <c r="S41"/>
  <c r="Z41" s="1"/>
  <c r="AF41" s="1"/>
  <c r="Q41"/>
  <c r="T40"/>
  <c r="T73" s="1"/>
  <c r="S40"/>
  <c r="Z40" s="1"/>
  <c r="AF40" s="1"/>
  <c r="Q40"/>
  <c r="S39"/>
  <c r="Z39" s="1"/>
  <c r="AF39" s="1"/>
  <c r="Q39"/>
  <c r="S38"/>
  <c r="U38" s="1"/>
  <c r="Q38"/>
  <c r="S37"/>
  <c r="Z37" s="1"/>
  <c r="AF37" s="1"/>
  <c r="Q37"/>
  <c r="S36"/>
  <c r="Z36" s="1"/>
  <c r="AF36" s="1"/>
  <c r="Q36"/>
  <c r="U35"/>
  <c r="AG35" s="1"/>
  <c r="AH35" s="1"/>
  <c r="S35"/>
  <c r="Z35" s="1"/>
  <c r="AF35" s="1"/>
  <c r="Q35"/>
  <c r="S34"/>
  <c r="U34" s="1"/>
  <c r="Q34"/>
  <c r="S33"/>
  <c r="Z33" s="1"/>
  <c r="AF33" s="1"/>
  <c r="Q33"/>
  <c r="S32"/>
  <c r="Z32" s="1"/>
  <c r="AF32" s="1"/>
  <c r="Q32"/>
  <c r="S31"/>
  <c r="Z31" s="1"/>
  <c r="AF31" s="1"/>
  <c r="Q31"/>
  <c r="S30"/>
  <c r="U30" s="1"/>
  <c r="Q30"/>
  <c r="T29"/>
  <c r="S29"/>
  <c r="Z29" s="1"/>
  <c r="AF29" s="1"/>
  <c r="Q29"/>
  <c r="T28"/>
  <c r="S28"/>
  <c r="Z28" s="1"/>
  <c r="AF28" s="1"/>
  <c r="Q28"/>
  <c r="S27"/>
  <c r="Z27" s="1"/>
  <c r="AF27" s="1"/>
  <c r="Q27"/>
  <c r="S26"/>
  <c r="Z26" s="1"/>
  <c r="AF26" s="1"/>
  <c r="Q26"/>
  <c r="S25"/>
  <c r="Z25" s="1"/>
  <c r="AF25" s="1"/>
  <c r="Q25"/>
  <c r="S24"/>
  <c r="U24" s="1"/>
  <c r="Q24"/>
  <c r="Z23"/>
  <c r="AF23" s="1"/>
  <c r="U23"/>
  <c r="S23"/>
  <c r="Q23"/>
  <c r="Z22"/>
  <c r="AF22" s="1"/>
  <c r="U22"/>
  <c r="S22"/>
  <c r="Q22"/>
  <c r="U21"/>
  <c r="AG21" s="1"/>
  <c r="AH21" s="1"/>
  <c r="S21"/>
  <c r="Z21" s="1"/>
  <c r="AF21" s="1"/>
  <c r="Q21"/>
  <c r="S20"/>
  <c r="U20" s="1"/>
  <c r="Q20"/>
  <c r="S19"/>
  <c r="Z19" s="1"/>
  <c r="AF19" s="1"/>
  <c r="Q19"/>
  <c r="Z18"/>
  <c r="AF18" s="1"/>
  <c r="AG18" s="1"/>
  <c r="AH18" s="1"/>
  <c r="U17"/>
  <c r="S17"/>
  <c r="Z17" s="1"/>
  <c r="AF17" s="1"/>
  <c r="Q17"/>
  <c r="S16"/>
  <c r="Z16" s="1"/>
  <c r="AF16" s="1"/>
  <c r="Q16"/>
  <c r="S15"/>
  <c r="U15" s="1"/>
  <c r="Q15"/>
  <c r="R73"/>
  <c r="D76" s="1"/>
  <c r="Q14"/>
  <c r="U13"/>
  <c r="S13"/>
  <c r="Z13" s="1"/>
  <c r="AF13" s="1"/>
  <c r="Q13"/>
  <c r="S12"/>
  <c r="Z12" s="1"/>
  <c r="AF12" s="1"/>
  <c r="Q12"/>
  <c r="S11"/>
  <c r="Z11" s="1"/>
  <c r="AF11" s="1"/>
  <c r="Q11"/>
  <c r="S10"/>
  <c r="U10" s="1"/>
  <c r="Q10"/>
  <c r="Z9"/>
  <c r="AF9" s="1"/>
  <c r="S9"/>
  <c r="U9" s="1"/>
  <c r="Q9"/>
  <c r="S8"/>
  <c r="U8" s="1"/>
  <c r="Q8"/>
  <c r="U7"/>
  <c r="S7"/>
  <c r="Z7" s="1"/>
  <c r="Q7"/>
  <c r="F77" i="894"/>
  <c r="R77" s="1"/>
  <c r="R74"/>
  <c r="T74" s="1"/>
  <c r="R14"/>
  <c r="R73" s="1"/>
  <c r="D76" s="1"/>
  <c r="G71"/>
  <c r="X145"/>
  <c r="AA118"/>
  <c r="Z118"/>
  <c r="W118"/>
  <c r="V118"/>
  <c r="X118" s="1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M77"/>
  <c r="R76"/>
  <c r="R75"/>
  <c r="AJ73"/>
  <c r="AI73"/>
  <c r="AE73"/>
  <c r="AD73"/>
  <c r="AC73"/>
  <c r="AB73"/>
  <c r="AA73"/>
  <c r="Y73"/>
  <c r="V73"/>
  <c r="O73"/>
  <c r="N73"/>
  <c r="M73"/>
  <c r="L73"/>
  <c r="K73"/>
  <c r="J73"/>
  <c r="I73"/>
  <c r="H73"/>
  <c r="G73"/>
  <c r="F73"/>
  <c r="E73"/>
  <c r="D73"/>
  <c r="E75" s="1"/>
  <c r="C73"/>
  <c r="AF72"/>
  <c r="AG72" s="1"/>
  <c r="AH72" s="1"/>
  <c r="Z72"/>
  <c r="S71"/>
  <c r="U71" s="1"/>
  <c r="Q71"/>
  <c r="S70"/>
  <c r="Q70"/>
  <c r="S69"/>
  <c r="Q69"/>
  <c r="Z68"/>
  <c r="AF68" s="1"/>
  <c r="U68"/>
  <c r="S68"/>
  <c r="Q68"/>
  <c r="U67"/>
  <c r="AG67" s="1"/>
  <c r="AH67" s="1"/>
  <c r="S67"/>
  <c r="Z67" s="1"/>
  <c r="AF67" s="1"/>
  <c r="Q67"/>
  <c r="AG66"/>
  <c r="AH66" s="1"/>
  <c r="AF66"/>
  <c r="Z66"/>
  <c r="S65"/>
  <c r="Z65" s="1"/>
  <c r="AF65" s="1"/>
  <c r="Q65"/>
  <c r="AF64"/>
  <c r="Z64"/>
  <c r="S64"/>
  <c r="U64" s="1"/>
  <c r="Q64"/>
  <c r="Z63"/>
  <c r="AF63" s="1"/>
  <c r="U63"/>
  <c r="S63"/>
  <c r="Q63"/>
  <c r="U62"/>
  <c r="AG62" s="1"/>
  <c r="AH62" s="1"/>
  <c r="S62"/>
  <c r="Z62" s="1"/>
  <c r="AF62" s="1"/>
  <c r="Q62"/>
  <c r="S61"/>
  <c r="Z61" s="1"/>
  <c r="AF61" s="1"/>
  <c r="Q61"/>
  <c r="S60"/>
  <c r="U60" s="1"/>
  <c r="Q60"/>
  <c r="S59"/>
  <c r="U59" s="1"/>
  <c r="Q59"/>
  <c r="Z58"/>
  <c r="AF58" s="1"/>
  <c r="U58"/>
  <c r="Q58"/>
  <c r="T57"/>
  <c r="S57"/>
  <c r="U57" s="1"/>
  <c r="Q57"/>
  <c r="S56"/>
  <c r="U56" s="1"/>
  <c r="Q56"/>
  <c r="S55"/>
  <c r="Z55" s="1"/>
  <c r="AF55" s="1"/>
  <c r="Q55"/>
  <c r="S54"/>
  <c r="Z54" s="1"/>
  <c r="AF54" s="1"/>
  <c r="Q54"/>
  <c r="S53"/>
  <c r="Z53" s="1"/>
  <c r="AF53" s="1"/>
  <c r="Q53"/>
  <c r="S52"/>
  <c r="U52" s="1"/>
  <c r="Q52"/>
  <c r="S51"/>
  <c r="U51" s="1"/>
  <c r="Q51"/>
  <c r="T50"/>
  <c r="S50"/>
  <c r="Z50" s="1"/>
  <c r="AF50" s="1"/>
  <c r="Q50"/>
  <c r="S49"/>
  <c r="Z49" s="1"/>
  <c r="AF49" s="1"/>
  <c r="Q49"/>
  <c r="S48"/>
  <c r="Z48" s="1"/>
  <c r="AF48" s="1"/>
  <c r="Q48"/>
  <c r="S47"/>
  <c r="U47" s="1"/>
  <c r="Q47"/>
  <c r="S46"/>
  <c r="U46" s="1"/>
  <c r="Q46"/>
  <c r="S45"/>
  <c r="Z45" s="1"/>
  <c r="AF45" s="1"/>
  <c r="Q45"/>
  <c r="S44"/>
  <c r="Z44" s="1"/>
  <c r="AF44" s="1"/>
  <c r="Q44"/>
  <c r="AF43"/>
  <c r="AG43" s="1"/>
  <c r="AH43" s="1"/>
  <c r="Z43"/>
  <c r="S42"/>
  <c r="U42" s="1"/>
  <c r="Q42"/>
  <c r="S41"/>
  <c r="U41" s="1"/>
  <c r="Q41"/>
  <c r="T40"/>
  <c r="S40"/>
  <c r="Z40" s="1"/>
  <c r="AF40" s="1"/>
  <c r="Q40"/>
  <c r="S39"/>
  <c r="Z39" s="1"/>
  <c r="AF39" s="1"/>
  <c r="Q39"/>
  <c r="S38"/>
  <c r="Z38" s="1"/>
  <c r="AF38" s="1"/>
  <c r="Q38"/>
  <c r="S37"/>
  <c r="U37" s="1"/>
  <c r="Q37"/>
  <c r="S36"/>
  <c r="U36" s="1"/>
  <c r="Q36"/>
  <c r="S35"/>
  <c r="Z35" s="1"/>
  <c r="AF35" s="1"/>
  <c r="Q35"/>
  <c r="S34"/>
  <c r="Z34" s="1"/>
  <c r="AF34" s="1"/>
  <c r="Q34"/>
  <c r="Z33"/>
  <c r="AF33" s="1"/>
  <c r="S33"/>
  <c r="U33" s="1"/>
  <c r="Q33"/>
  <c r="S32"/>
  <c r="Z32" s="1"/>
  <c r="AF32" s="1"/>
  <c r="Q32"/>
  <c r="S31"/>
  <c r="Z31" s="1"/>
  <c r="AF31" s="1"/>
  <c r="Q31"/>
  <c r="S30"/>
  <c r="Z30" s="1"/>
  <c r="AF30" s="1"/>
  <c r="Q30"/>
  <c r="T29"/>
  <c r="S29"/>
  <c r="Z29" s="1"/>
  <c r="AF29" s="1"/>
  <c r="Q29"/>
  <c r="T28"/>
  <c r="T73" s="1"/>
  <c r="S28"/>
  <c r="Z28" s="1"/>
  <c r="AF28" s="1"/>
  <c r="Q28"/>
  <c r="S27"/>
  <c r="Z27" s="1"/>
  <c r="AF27" s="1"/>
  <c r="Q27"/>
  <c r="S26"/>
  <c r="U26" s="1"/>
  <c r="Q26"/>
  <c r="S25"/>
  <c r="U25" s="1"/>
  <c r="Q25"/>
  <c r="S24"/>
  <c r="Z24" s="1"/>
  <c r="AF24" s="1"/>
  <c r="Q24"/>
  <c r="S23"/>
  <c r="Z23" s="1"/>
  <c r="AF23" s="1"/>
  <c r="Q23"/>
  <c r="S22"/>
  <c r="U22" s="1"/>
  <c r="Q22"/>
  <c r="S21"/>
  <c r="Z21" s="1"/>
  <c r="AF21" s="1"/>
  <c r="Q21"/>
  <c r="S20"/>
  <c r="Z20" s="1"/>
  <c r="AF20" s="1"/>
  <c r="Q20"/>
  <c r="S19"/>
  <c r="Z19" s="1"/>
  <c r="AF19" s="1"/>
  <c r="Q19"/>
  <c r="AF18"/>
  <c r="AG18" s="1"/>
  <c r="AH18" s="1"/>
  <c r="Z18"/>
  <c r="S17"/>
  <c r="U17" s="1"/>
  <c r="Q17"/>
  <c r="S16"/>
  <c r="U16" s="1"/>
  <c r="Q16"/>
  <c r="S15"/>
  <c r="Z15" s="1"/>
  <c r="AF15" s="1"/>
  <c r="Q15"/>
  <c r="Q14"/>
  <c r="U13"/>
  <c r="AG13" s="1"/>
  <c r="AH13" s="1"/>
  <c r="S13"/>
  <c r="Z13" s="1"/>
  <c r="AF13" s="1"/>
  <c r="Q13"/>
  <c r="S12"/>
  <c r="Z12" s="1"/>
  <c r="AF12" s="1"/>
  <c r="Q12"/>
  <c r="Q11"/>
  <c r="S10"/>
  <c r="U10" s="1"/>
  <c r="Q10"/>
  <c r="S9"/>
  <c r="Z9" s="1"/>
  <c r="AF9" s="1"/>
  <c r="Q9"/>
  <c r="S8"/>
  <c r="Z8" s="1"/>
  <c r="AF8" s="1"/>
  <c r="Q8"/>
  <c r="S7"/>
  <c r="Z7" s="1"/>
  <c r="Q7"/>
  <c r="R76" i="893"/>
  <c r="R80" s="1"/>
  <c r="R75"/>
  <c r="R74"/>
  <c r="T74" s="1"/>
  <c r="R70"/>
  <c r="S70" s="1"/>
  <c r="R69"/>
  <c r="S69" s="1"/>
  <c r="Z69" s="1"/>
  <c r="AF69" s="1"/>
  <c r="R14"/>
  <c r="R11"/>
  <c r="P32"/>
  <c r="Q32" s="1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R77"/>
  <c r="M77"/>
  <c r="F77"/>
  <c r="AJ73"/>
  <c r="AI73"/>
  <c r="AE73"/>
  <c r="AD73"/>
  <c r="AC73"/>
  <c r="AB73"/>
  <c r="AA73"/>
  <c r="Y73"/>
  <c r="V73"/>
  <c r="T73"/>
  <c r="O73"/>
  <c r="N73"/>
  <c r="M73"/>
  <c r="L73"/>
  <c r="K73"/>
  <c r="J73"/>
  <c r="I73"/>
  <c r="H73"/>
  <c r="G73"/>
  <c r="F73"/>
  <c r="E73"/>
  <c r="C73"/>
  <c r="AF72"/>
  <c r="AG72" s="1"/>
  <c r="AH72" s="1"/>
  <c r="Z72"/>
  <c r="S71"/>
  <c r="Q71"/>
  <c r="Q70"/>
  <c r="Q69"/>
  <c r="S68"/>
  <c r="Z68" s="1"/>
  <c r="AF68" s="1"/>
  <c r="Q68"/>
  <c r="U67"/>
  <c r="AG67" s="1"/>
  <c r="AH67" s="1"/>
  <c r="S67"/>
  <c r="Z67" s="1"/>
  <c r="AF67" s="1"/>
  <c r="Q67"/>
  <c r="AG66"/>
  <c r="AH66" s="1"/>
  <c r="AF66"/>
  <c r="Z66"/>
  <c r="S65"/>
  <c r="Z65" s="1"/>
  <c r="AF65" s="1"/>
  <c r="Q65"/>
  <c r="S64"/>
  <c r="U64" s="1"/>
  <c r="Q64"/>
  <c r="Z63"/>
  <c r="AF63" s="1"/>
  <c r="S63"/>
  <c r="U63" s="1"/>
  <c r="Q63"/>
  <c r="S62"/>
  <c r="Z62" s="1"/>
  <c r="AF62" s="1"/>
  <c r="Q62"/>
  <c r="S61"/>
  <c r="Z61" s="1"/>
  <c r="AF61" s="1"/>
  <c r="Q61"/>
  <c r="U60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U57" s="1"/>
  <c r="Q57"/>
  <c r="S56"/>
  <c r="Z56" s="1"/>
  <c r="AF56" s="1"/>
  <c r="Q56"/>
  <c r="S55"/>
  <c r="Z55" s="1"/>
  <c r="AF55" s="1"/>
  <c r="Q55"/>
  <c r="S54"/>
  <c r="Z54" s="1"/>
  <c r="AF54" s="1"/>
  <c r="Q54"/>
  <c r="S53"/>
  <c r="Z53" s="1"/>
  <c r="AF53" s="1"/>
  <c r="Q53"/>
  <c r="S52"/>
  <c r="U52" s="1"/>
  <c r="Q52"/>
  <c r="Z51"/>
  <c r="AF51" s="1"/>
  <c r="S51"/>
  <c r="U51" s="1"/>
  <c r="Q51"/>
  <c r="U50"/>
  <c r="AG50" s="1"/>
  <c r="AH50" s="1"/>
  <c r="T50"/>
  <c r="S50"/>
  <c r="Z50" s="1"/>
  <c r="AF50" s="1"/>
  <c r="Q50"/>
  <c r="U49"/>
  <c r="AG49" s="1"/>
  <c r="AH49" s="1"/>
  <c r="S49"/>
  <c r="Z49" s="1"/>
  <c r="AF49" s="1"/>
  <c r="Q49"/>
  <c r="S48"/>
  <c r="Z48" s="1"/>
  <c r="AF48" s="1"/>
  <c r="Q48"/>
  <c r="U47"/>
  <c r="S47"/>
  <c r="Z47" s="1"/>
  <c r="AF47" s="1"/>
  <c r="Q47"/>
  <c r="U46"/>
  <c r="S46"/>
  <c r="Z46" s="1"/>
  <c r="AF46" s="1"/>
  <c r="Q46"/>
  <c r="S45"/>
  <c r="Z45" s="1"/>
  <c r="AF45" s="1"/>
  <c r="Q45"/>
  <c r="S44"/>
  <c r="Z44" s="1"/>
  <c r="AF44" s="1"/>
  <c r="Q44"/>
  <c r="AF43"/>
  <c r="AG43" s="1"/>
  <c r="AH43" s="1"/>
  <c r="Z43"/>
  <c r="U42"/>
  <c r="S42"/>
  <c r="Z42" s="1"/>
  <c r="AF42" s="1"/>
  <c r="Q42"/>
  <c r="U41"/>
  <c r="S41"/>
  <c r="Z41" s="1"/>
  <c r="AF41" s="1"/>
  <c r="Q41"/>
  <c r="T40"/>
  <c r="S40"/>
  <c r="Z40" s="1"/>
  <c r="AF40" s="1"/>
  <c r="Q40"/>
  <c r="S39"/>
  <c r="Z39" s="1"/>
  <c r="AF39" s="1"/>
  <c r="Q39"/>
  <c r="S38"/>
  <c r="Z38" s="1"/>
  <c r="AF38" s="1"/>
  <c r="Q38"/>
  <c r="S37"/>
  <c r="U37" s="1"/>
  <c r="Q37"/>
  <c r="Z36"/>
  <c r="AF36" s="1"/>
  <c r="S36"/>
  <c r="U36" s="1"/>
  <c r="Q36"/>
  <c r="U35"/>
  <c r="AG35" s="1"/>
  <c r="AH35" s="1"/>
  <c r="S35"/>
  <c r="Z35" s="1"/>
  <c r="AF35" s="1"/>
  <c r="Q35"/>
  <c r="S34"/>
  <c r="Z34" s="1"/>
  <c r="AF34" s="1"/>
  <c r="Q34"/>
  <c r="U33"/>
  <c r="S33"/>
  <c r="Z33" s="1"/>
  <c r="AF33" s="1"/>
  <c r="Q33"/>
  <c r="U32"/>
  <c r="S32"/>
  <c r="Z32" s="1"/>
  <c r="AF32" s="1"/>
  <c r="S31"/>
  <c r="Z31" s="1"/>
  <c r="AF31" s="1"/>
  <c r="Q31"/>
  <c r="S30"/>
  <c r="Z30" s="1"/>
  <c r="AF30" s="1"/>
  <c r="Q30"/>
  <c r="T29"/>
  <c r="S29"/>
  <c r="U29" s="1"/>
  <c r="Q29"/>
  <c r="T28"/>
  <c r="S28"/>
  <c r="U28" s="1"/>
  <c r="Q28"/>
  <c r="U27"/>
  <c r="S27"/>
  <c r="Z27" s="1"/>
  <c r="AF27" s="1"/>
  <c r="Q27"/>
  <c r="U26"/>
  <c r="S26"/>
  <c r="Z26" s="1"/>
  <c r="AF26" s="1"/>
  <c r="Q26"/>
  <c r="S25"/>
  <c r="Z25" s="1"/>
  <c r="AF25" s="1"/>
  <c r="Q25"/>
  <c r="S24"/>
  <c r="Z24" s="1"/>
  <c r="AF24" s="1"/>
  <c r="Q24"/>
  <c r="Z23"/>
  <c r="AF23" s="1"/>
  <c r="S23"/>
  <c r="U23" s="1"/>
  <c r="Q23"/>
  <c r="S22"/>
  <c r="U22" s="1"/>
  <c r="Q22"/>
  <c r="S21"/>
  <c r="Z21" s="1"/>
  <c r="AF21" s="1"/>
  <c r="Q21"/>
  <c r="S20"/>
  <c r="Z20" s="1"/>
  <c r="AF20" s="1"/>
  <c r="Q20"/>
  <c r="S19"/>
  <c r="U19" s="1"/>
  <c r="Q19"/>
  <c r="Z18"/>
  <c r="AF18" s="1"/>
  <c r="AG18" s="1"/>
  <c r="AH18" s="1"/>
  <c r="S17"/>
  <c r="Q17"/>
  <c r="S16"/>
  <c r="U16" s="1"/>
  <c r="Q16"/>
  <c r="U15"/>
  <c r="AG15" s="1"/>
  <c r="AH15" s="1"/>
  <c r="S15"/>
  <c r="Z15" s="1"/>
  <c r="AF15" s="1"/>
  <c r="Q15"/>
  <c r="Q14"/>
  <c r="S13"/>
  <c r="Z13" s="1"/>
  <c r="AF13" s="1"/>
  <c r="Q13"/>
  <c r="S12"/>
  <c r="Z12" s="1"/>
  <c r="AF12" s="1"/>
  <c r="Q12"/>
  <c r="S11"/>
  <c r="U11" s="1"/>
  <c r="Q11"/>
  <c r="Z10"/>
  <c r="AF10" s="1"/>
  <c r="S10"/>
  <c r="U10" s="1"/>
  <c r="Q10"/>
  <c r="U9"/>
  <c r="AG9" s="1"/>
  <c r="AH9" s="1"/>
  <c r="S9"/>
  <c r="Z9" s="1"/>
  <c r="AF9" s="1"/>
  <c r="Q9"/>
  <c r="S8"/>
  <c r="Z8" s="1"/>
  <c r="AF8" s="1"/>
  <c r="Q8"/>
  <c r="S7"/>
  <c r="Z7" s="1"/>
  <c r="Q7"/>
  <c r="R76" i="892"/>
  <c r="R80" s="1"/>
  <c r="R75"/>
  <c r="R74"/>
  <c r="R14"/>
  <c r="R7"/>
  <c r="R8"/>
  <c r="S8" s="1"/>
  <c r="U8" s="1"/>
  <c r="R17"/>
  <c r="S17" s="1"/>
  <c r="U17" s="1"/>
  <c r="R71"/>
  <c r="S71" s="1"/>
  <c r="U71" s="1"/>
  <c r="R70"/>
  <c r="S14"/>
  <c r="U14" s="1"/>
  <c r="D14"/>
  <c r="X14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M77"/>
  <c r="F77"/>
  <c r="T74"/>
  <c r="AJ73"/>
  <c r="AI73"/>
  <c r="AE73"/>
  <c r="AD73"/>
  <c r="AC73"/>
  <c r="AB73"/>
  <c r="AA73"/>
  <c r="Y73"/>
  <c r="V73"/>
  <c r="P73"/>
  <c r="O73"/>
  <c r="N73"/>
  <c r="M73"/>
  <c r="L73"/>
  <c r="J73"/>
  <c r="I73"/>
  <c r="H73"/>
  <c r="G73"/>
  <c r="F73"/>
  <c r="E73"/>
  <c r="D73"/>
  <c r="E75" s="1"/>
  <c r="AG72"/>
  <c r="AH72" s="1"/>
  <c r="AF72"/>
  <c r="Z72"/>
  <c r="Q71"/>
  <c r="S70"/>
  <c r="U70" s="1"/>
  <c r="Q70"/>
  <c r="S69"/>
  <c r="U69" s="1"/>
  <c r="Q69"/>
  <c r="S68"/>
  <c r="U68" s="1"/>
  <c r="Q68"/>
  <c r="S67"/>
  <c r="U67" s="1"/>
  <c r="Q67"/>
  <c r="Z66"/>
  <c r="AF66" s="1"/>
  <c r="AG66" s="1"/>
  <c r="AH66" s="1"/>
  <c r="S65"/>
  <c r="Z65" s="1"/>
  <c r="AF65" s="1"/>
  <c r="Q65"/>
  <c r="S64"/>
  <c r="Z64" s="1"/>
  <c r="AF64" s="1"/>
  <c r="Q64"/>
  <c r="S63"/>
  <c r="U63" s="1"/>
  <c r="Q63"/>
  <c r="S62"/>
  <c r="U62" s="1"/>
  <c r="Q62"/>
  <c r="S61"/>
  <c r="U61" s="1"/>
  <c r="Q61"/>
  <c r="S60"/>
  <c r="Z60" s="1"/>
  <c r="AF60" s="1"/>
  <c r="Q60"/>
  <c r="S59"/>
  <c r="U59" s="1"/>
  <c r="Q59"/>
  <c r="AF58"/>
  <c r="AG58" s="1"/>
  <c r="AH58" s="1"/>
  <c r="Z58"/>
  <c r="U58"/>
  <c r="Q58"/>
  <c r="T57"/>
  <c r="S57"/>
  <c r="U57" s="1"/>
  <c r="Q57"/>
  <c r="S56"/>
  <c r="Z56" s="1"/>
  <c r="AF56" s="1"/>
  <c r="Q56"/>
  <c r="S55"/>
  <c r="U55" s="1"/>
  <c r="Q55"/>
  <c r="S54"/>
  <c r="U54" s="1"/>
  <c r="Q54"/>
  <c r="U53"/>
  <c r="S53"/>
  <c r="Z53" s="1"/>
  <c r="AF53" s="1"/>
  <c r="Q53"/>
  <c r="S52"/>
  <c r="Z52" s="1"/>
  <c r="AF52" s="1"/>
  <c r="Q52"/>
  <c r="S51"/>
  <c r="U51" s="1"/>
  <c r="Q51"/>
  <c r="T50"/>
  <c r="S50"/>
  <c r="Z50" s="1"/>
  <c r="AF50" s="1"/>
  <c r="Q50"/>
  <c r="S49"/>
  <c r="U49" s="1"/>
  <c r="Q49"/>
  <c r="U48"/>
  <c r="S48"/>
  <c r="Z48" s="1"/>
  <c r="AF48" s="1"/>
  <c r="Q48"/>
  <c r="S47"/>
  <c r="Z47" s="1"/>
  <c r="AF47" s="1"/>
  <c r="Q47"/>
  <c r="S46"/>
  <c r="U46" s="1"/>
  <c r="Q46"/>
  <c r="AF45"/>
  <c r="Z45"/>
  <c r="S45"/>
  <c r="U45" s="1"/>
  <c r="Q45"/>
  <c r="Z44"/>
  <c r="AF44" s="1"/>
  <c r="U44"/>
  <c r="S44"/>
  <c r="Q44"/>
  <c r="Z43"/>
  <c r="AF43" s="1"/>
  <c r="AG43" s="1"/>
  <c r="AH43" s="1"/>
  <c r="U42"/>
  <c r="AG42" s="1"/>
  <c r="AH42" s="1"/>
  <c r="S42"/>
  <c r="Z42" s="1"/>
  <c r="AF42" s="1"/>
  <c r="Q42"/>
  <c r="S41"/>
  <c r="U41" s="1"/>
  <c r="Q41"/>
  <c r="T40"/>
  <c r="S40"/>
  <c r="U40" s="1"/>
  <c r="Q40"/>
  <c r="S39"/>
  <c r="U39" s="1"/>
  <c r="Q39"/>
  <c r="S38"/>
  <c r="Q38"/>
  <c r="S37"/>
  <c r="U37" s="1"/>
  <c r="Q37"/>
  <c r="S36"/>
  <c r="U36" s="1"/>
  <c r="Q36"/>
  <c r="S35"/>
  <c r="Z35" s="1"/>
  <c r="AF35" s="1"/>
  <c r="Q35"/>
  <c r="S34"/>
  <c r="U34" s="1"/>
  <c r="Q34"/>
  <c r="S33"/>
  <c r="U33" s="1"/>
  <c r="Q33"/>
  <c r="Q32"/>
  <c r="S32"/>
  <c r="S31"/>
  <c r="U31" s="1"/>
  <c r="Q31"/>
  <c r="S30"/>
  <c r="U30" s="1"/>
  <c r="Q30"/>
  <c r="T29"/>
  <c r="T73" s="1"/>
  <c r="S29"/>
  <c r="Q29"/>
  <c r="T28"/>
  <c r="Q28"/>
  <c r="S28"/>
  <c r="Z27"/>
  <c r="AF27" s="1"/>
  <c r="S27"/>
  <c r="U27" s="1"/>
  <c r="Q27"/>
  <c r="S26"/>
  <c r="Z26" s="1"/>
  <c r="AF26" s="1"/>
  <c r="Q26"/>
  <c r="S25"/>
  <c r="Z25" s="1"/>
  <c r="AF25" s="1"/>
  <c r="Q25"/>
  <c r="S24"/>
  <c r="U24" s="1"/>
  <c r="Q24"/>
  <c r="S23"/>
  <c r="U23" s="1"/>
  <c r="Q23"/>
  <c r="S22"/>
  <c r="U22" s="1"/>
  <c r="Q22"/>
  <c r="U21"/>
  <c r="AG21" s="1"/>
  <c r="AH21" s="1"/>
  <c r="S21"/>
  <c r="Z21" s="1"/>
  <c r="AF21" s="1"/>
  <c r="Q21"/>
  <c r="S20"/>
  <c r="U20" s="1"/>
  <c r="Q20"/>
  <c r="S19"/>
  <c r="U19" s="1"/>
  <c r="Q19"/>
  <c r="K73"/>
  <c r="AF18"/>
  <c r="AG18" s="1"/>
  <c r="AH18" s="1"/>
  <c r="Z18"/>
  <c r="Q17"/>
  <c r="S16"/>
  <c r="U16" s="1"/>
  <c r="Q16"/>
  <c r="U15"/>
  <c r="AG15" s="1"/>
  <c r="AH15" s="1"/>
  <c r="S15"/>
  <c r="Z15" s="1"/>
  <c r="AF15" s="1"/>
  <c r="Q15"/>
  <c r="Q14"/>
  <c r="S13"/>
  <c r="U13" s="1"/>
  <c r="Q13"/>
  <c r="S12"/>
  <c r="Q12"/>
  <c r="S11"/>
  <c r="U11" s="1"/>
  <c r="Q11"/>
  <c r="S10"/>
  <c r="U10" s="1"/>
  <c r="Q10"/>
  <c r="S9"/>
  <c r="Z9" s="1"/>
  <c r="AF9" s="1"/>
  <c r="Q9"/>
  <c r="Q8"/>
  <c r="S7"/>
  <c r="U7" s="1"/>
  <c r="Q7"/>
  <c r="R76" i="891"/>
  <c r="R75"/>
  <c r="R74"/>
  <c r="M77"/>
  <c r="F77"/>
  <c r="R8"/>
  <c r="R7"/>
  <c r="R14"/>
  <c r="R12"/>
  <c r="S12" s="1"/>
  <c r="U12" s="1"/>
  <c r="R69"/>
  <c r="R70"/>
  <c r="R71"/>
  <c r="S8"/>
  <c r="Z8" s="1"/>
  <c r="AF8" s="1"/>
  <c r="R38"/>
  <c r="C32"/>
  <c r="C73" s="1"/>
  <c r="C28"/>
  <c r="C41"/>
  <c r="S14"/>
  <c r="Z14" s="1"/>
  <c r="AF14" s="1"/>
  <c r="S69"/>
  <c r="U69" s="1"/>
  <c r="R29"/>
  <c r="R32"/>
  <c r="K19"/>
  <c r="X14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D73"/>
  <c r="E75" s="1"/>
  <c r="AG72"/>
  <c r="AH72" s="1"/>
  <c r="AF72"/>
  <c r="Z72"/>
  <c r="Q71"/>
  <c r="S70"/>
  <c r="U70" s="1"/>
  <c r="Q70"/>
  <c r="Q69"/>
  <c r="G73"/>
  <c r="S68"/>
  <c r="U68" s="1"/>
  <c r="Q68"/>
  <c r="S67"/>
  <c r="U67" s="1"/>
  <c r="Q67"/>
  <c r="Z66"/>
  <c r="AF66" s="1"/>
  <c r="AG66" s="1"/>
  <c r="AH66" s="1"/>
  <c r="S65"/>
  <c r="Z65" s="1"/>
  <c r="AF65" s="1"/>
  <c r="Q65"/>
  <c r="S64"/>
  <c r="U64" s="1"/>
  <c r="Q64"/>
  <c r="S63"/>
  <c r="U63" s="1"/>
  <c r="Q63"/>
  <c r="S62"/>
  <c r="U62" s="1"/>
  <c r="Q62"/>
  <c r="S61"/>
  <c r="Z61" s="1"/>
  <c r="AF61" s="1"/>
  <c r="Q61"/>
  <c r="S60"/>
  <c r="U60" s="1"/>
  <c r="Q60"/>
  <c r="Z59"/>
  <c r="AF59" s="1"/>
  <c r="S59"/>
  <c r="U59" s="1"/>
  <c r="Q59"/>
  <c r="Z58"/>
  <c r="AF58" s="1"/>
  <c r="U58"/>
  <c r="AG58" s="1"/>
  <c r="AH58" s="1"/>
  <c r="Q58"/>
  <c r="T57"/>
  <c r="S57"/>
  <c r="U57" s="1"/>
  <c r="Q57"/>
  <c r="S56"/>
  <c r="U56" s="1"/>
  <c r="Q56"/>
  <c r="S55"/>
  <c r="U55" s="1"/>
  <c r="Q55"/>
  <c r="S54"/>
  <c r="Z54" s="1"/>
  <c r="AF54" s="1"/>
  <c r="Q54"/>
  <c r="S53"/>
  <c r="Z53" s="1"/>
  <c r="AF53" s="1"/>
  <c r="Q53"/>
  <c r="S52"/>
  <c r="U52" s="1"/>
  <c r="Q52"/>
  <c r="S51"/>
  <c r="U51" s="1"/>
  <c r="Q51"/>
  <c r="T50"/>
  <c r="S50"/>
  <c r="U50" s="1"/>
  <c r="Q50"/>
  <c r="S49"/>
  <c r="U49" s="1"/>
  <c r="Q49"/>
  <c r="S48"/>
  <c r="Z48" s="1"/>
  <c r="AF48" s="1"/>
  <c r="Q48"/>
  <c r="S47"/>
  <c r="U47" s="1"/>
  <c r="Q47"/>
  <c r="S46"/>
  <c r="U46" s="1"/>
  <c r="Q46"/>
  <c r="S45"/>
  <c r="U45" s="1"/>
  <c r="Q45"/>
  <c r="S44"/>
  <c r="Z44" s="1"/>
  <c r="AF44" s="1"/>
  <c r="Q44"/>
  <c r="AG43"/>
  <c r="AH43" s="1"/>
  <c r="AF43"/>
  <c r="Z43"/>
  <c r="S42"/>
  <c r="U42" s="1"/>
  <c r="Q42"/>
  <c r="S41"/>
  <c r="U41" s="1"/>
  <c r="Q41"/>
  <c r="T40"/>
  <c r="S40"/>
  <c r="U40" s="1"/>
  <c r="Q40"/>
  <c r="S39"/>
  <c r="Z39" s="1"/>
  <c r="AF39" s="1"/>
  <c r="Q39"/>
  <c r="S38"/>
  <c r="Z38" s="1"/>
  <c r="AF38" s="1"/>
  <c r="Q38"/>
  <c r="S37"/>
  <c r="Z37" s="1"/>
  <c r="AF37" s="1"/>
  <c r="Q37"/>
  <c r="S36"/>
  <c r="U36" s="1"/>
  <c r="Q36"/>
  <c r="Z35"/>
  <c r="AF35" s="1"/>
  <c r="S35"/>
  <c r="U35" s="1"/>
  <c r="Q35"/>
  <c r="S34"/>
  <c r="Z34" s="1"/>
  <c r="AF34" s="1"/>
  <c r="Q34"/>
  <c r="S33"/>
  <c r="Z33" s="1"/>
  <c r="AF33" s="1"/>
  <c r="Q33"/>
  <c r="Q32"/>
  <c r="S31"/>
  <c r="U31" s="1"/>
  <c r="Q31"/>
  <c r="S30"/>
  <c r="U30" s="1"/>
  <c r="Q30"/>
  <c r="T29"/>
  <c r="S29"/>
  <c r="U29" s="1"/>
  <c r="Q29"/>
  <c r="T28"/>
  <c r="T73" s="1"/>
  <c r="S28"/>
  <c r="U28" s="1"/>
  <c r="Q28"/>
  <c r="S27"/>
  <c r="Z27" s="1"/>
  <c r="AF27" s="1"/>
  <c r="Q27"/>
  <c r="S26"/>
  <c r="U26" s="1"/>
  <c r="Q26"/>
  <c r="Z25"/>
  <c r="AF25" s="1"/>
  <c r="S25"/>
  <c r="U25" s="1"/>
  <c r="Q25"/>
  <c r="S24"/>
  <c r="Z24" s="1"/>
  <c r="AF24" s="1"/>
  <c r="Q24"/>
  <c r="S23"/>
  <c r="Z23" s="1"/>
  <c r="AF23" s="1"/>
  <c r="Q23"/>
  <c r="S22"/>
  <c r="U22" s="1"/>
  <c r="Q22"/>
  <c r="S21"/>
  <c r="U21" s="1"/>
  <c r="Q21"/>
  <c r="Z20"/>
  <c r="AF20" s="1"/>
  <c r="S20"/>
  <c r="U20" s="1"/>
  <c r="Q20"/>
  <c r="S19"/>
  <c r="Z19" s="1"/>
  <c r="AF19" s="1"/>
  <c r="Q19"/>
  <c r="AG18"/>
  <c r="AH18" s="1"/>
  <c r="AF18"/>
  <c r="Z18"/>
  <c r="S17"/>
  <c r="U17" s="1"/>
  <c r="Q17"/>
  <c r="S16"/>
  <c r="U16" s="1"/>
  <c r="Q16"/>
  <c r="S15"/>
  <c r="U15" s="1"/>
  <c r="Q15"/>
  <c r="Q14"/>
  <c r="S13"/>
  <c r="Z13" s="1"/>
  <c r="AF13" s="1"/>
  <c r="Q13"/>
  <c r="Q12"/>
  <c r="Q11"/>
  <c r="S10"/>
  <c r="U10" s="1"/>
  <c r="Q10"/>
  <c r="S9"/>
  <c r="U9" s="1"/>
  <c r="Q9"/>
  <c r="Q8"/>
  <c r="S7"/>
  <c r="U7" s="1"/>
  <c r="Q7"/>
  <c r="R11" i="890"/>
  <c r="S11" s="1"/>
  <c r="Z11" s="1"/>
  <c r="AF11" s="1"/>
  <c r="R14"/>
  <c r="G71"/>
  <c r="G69"/>
  <c r="D38"/>
  <c r="D73" s="1"/>
  <c r="E75" s="1"/>
  <c r="X14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M77"/>
  <c r="F77"/>
  <c r="R76"/>
  <c r="R80" s="1"/>
  <c r="R75"/>
  <c r="R74"/>
  <c r="T74" s="1"/>
  <c r="AJ73"/>
  <c r="AI73"/>
  <c r="AE73"/>
  <c r="AD73"/>
  <c r="AC73"/>
  <c r="AB73"/>
  <c r="AA73"/>
  <c r="Y73"/>
  <c r="V73"/>
  <c r="T73"/>
  <c r="P73"/>
  <c r="O73"/>
  <c r="N73"/>
  <c r="M73"/>
  <c r="L73"/>
  <c r="K73"/>
  <c r="J73"/>
  <c r="I73"/>
  <c r="H73"/>
  <c r="F73"/>
  <c r="E73"/>
  <c r="C73"/>
  <c r="AF72"/>
  <c r="AG72" s="1"/>
  <c r="AH72" s="1"/>
  <c r="Z72"/>
  <c r="S71"/>
  <c r="Q71"/>
  <c r="S70"/>
  <c r="U70" s="1"/>
  <c r="Q70"/>
  <c r="S69"/>
  <c r="Q69"/>
  <c r="S68"/>
  <c r="Z68" s="1"/>
  <c r="AF68" s="1"/>
  <c r="Q68"/>
  <c r="U67"/>
  <c r="AG67" s="1"/>
  <c r="AH67" s="1"/>
  <c r="S67"/>
  <c r="Z67" s="1"/>
  <c r="AF67" s="1"/>
  <c r="Q67"/>
  <c r="AG66"/>
  <c r="AH66" s="1"/>
  <c r="AF66"/>
  <c r="Z66"/>
  <c r="S65"/>
  <c r="Z65" s="1"/>
  <c r="AF65" s="1"/>
  <c r="Q65"/>
  <c r="S64"/>
  <c r="U64" s="1"/>
  <c r="Q64"/>
  <c r="S63"/>
  <c r="Z63" s="1"/>
  <c r="AF63" s="1"/>
  <c r="Q63"/>
  <c r="U62"/>
  <c r="AG62" s="1"/>
  <c r="AH62" s="1"/>
  <c r="S62"/>
  <c r="Z62" s="1"/>
  <c r="AF62" s="1"/>
  <c r="Q62"/>
  <c r="S61"/>
  <c r="Z61" s="1"/>
  <c r="AF61" s="1"/>
  <c r="Q61"/>
  <c r="S60"/>
  <c r="U60" s="1"/>
  <c r="Q60"/>
  <c r="U59"/>
  <c r="S59"/>
  <c r="Z59" s="1"/>
  <c r="AF59" s="1"/>
  <c r="Q59"/>
  <c r="Z58"/>
  <c r="AF58" s="1"/>
  <c r="U58"/>
  <c r="AG58" s="1"/>
  <c r="AH58" s="1"/>
  <c r="Q58"/>
  <c r="T57"/>
  <c r="S57"/>
  <c r="U57" s="1"/>
  <c r="Q57"/>
  <c r="S56"/>
  <c r="U56" s="1"/>
  <c r="Q56"/>
  <c r="U55"/>
  <c r="S55"/>
  <c r="Z55" s="1"/>
  <c r="AF55" s="1"/>
  <c r="Q55"/>
  <c r="S54"/>
  <c r="Z54" s="1"/>
  <c r="AF54" s="1"/>
  <c r="Q54"/>
  <c r="S53"/>
  <c r="Z53" s="1"/>
  <c r="AF53" s="1"/>
  <c r="Q53"/>
  <c r="Z52"/>
  <c r="AF52" s="1"/>
  <c r="S52"/>
  <c r="U52" s="1"/>
  <c r="Q52"/>
  <c r="S51"/>
  <c r="Z51" s="1"/>
  <c r="AF51" s="1"/>
  <c r="Q51"/>
  <c r="T50"/>
  <c r="S50"/>
  <c r="Z50" s="1"/>
  <c r="AF50" s="1"/>
  <c r="Q50"/>
  <c r="S49"/>
  <c r="Z49" s="1"/>
  <c r="AF49" s="1"/>
  <c r="Q49"/>
  <c r="S48"/>
  <c r="Z48" s="1"/>
  <c r="AF48" s="1"/>
  <c r="Q48"/>
  <c r="S47"/>
  <c r="U47" s="1"/>
  <c r="Q47"/>
  <c r="S46"/>
  <c r="Z46" s="1"/>
  <c r="AF46" s="1"/>
  <c r="Q46"/>
  <c r="S45"/>
  <c r="Z45" s="1"/>
  <c r="AF45" s="1"/>
  <c r="Q45"/>
  <c r="S44"/>
  <c r="Z44" s="1"/>
  <c r="AF44" s="1"/>
  <c r="Q44"/>
  <c r="AF43"/>
  <c r="AG43" s="1"/>
  <c r="AH43" s="1"/>
  <c r="Z43"/>
  <c r="S42"/>
  <c r="U42" s="1"/>
  <c r="Q42"/>
  <c r="S41"/>
  <c r="U41" s="1"/>
  <c r="Q41"/>
  <c r="T40"/>
  <c r="S40"/>
  <c r="U40" s="1"/>
  <c r="Q40"/>
  <c r="S39"/>
  <c r="Z39" s="1"/>
  <c r="AF39" s="1"/>
  <c r="Q39"/>
  <c r="Q38"/>
  <c r="Z37"/>
  <c r="AF37" s="1"/>
  <c r="S37"/>
  <c r="U37" s="1"/>
  <c r="Q37"/>
  <c r="S36"/>
  <c r="Z36" s="1"/>
  <c r="AF36" s="1"/>
  <c r="Q36"/>
  <c r="S35"/>
  <c r="Z35" s="1"/>
  <c r="AF35" s="1"/>
  <c r="Q35"/>
  <c r="S34"/>
  <c r="Z34" s="1"/>
  <c r="AF34" s="1"/>
  <c r="Q34"/>
  <c r="S33"/>
  <c r="U33" s="1"/>
  <c r="Q33"/>
  <c r="S32"/>
  <c r="U32" s="1"/>
  <c r="Q32"/>
  <c r="S31"/>
  <c r="Z31" s="1"/>
  <c r="AF31" s="1"/>
  <c r="Q31"/>
  <c r="S30"/>
  <c r="Z30" s="1"/>
  <c r="AF30" s="1"/>
  <c r="Q30"/>
  <c r="T29"/>
  <c r="S29"/>
  <c r="U29" s="1"/>
  <c r="Q29"/>
  <c r="T28"/>
  <c r="S28"/>
  <c r="U28" s="1"/>
  <c r="Q28"/>
  <c r="Z27"/>
  <c r="AF27" s="1"/>
  <c r="S27"/>
  <c r="U27" s="1"/>
  <c r="Q27"/>
  <c r="U26"/>
  <c r="S26"/>
  <c r="Z26" s="1"/>
  <c r="AF26" s="1"/>
  <c r="Q26"/>
  <c r="S25"/>
  <c r="Z25" s="1"/>
  <c r="AF25" s="1"/>
  <c r="Q25"/>
  <c r="S24"/>
  <c r="Z24" s="1"/>
  <c r="AF24" s="1"/>
  <c r="Q24"/>
  <c r="S23"/>
  <c r="U23" s="1"/>
  <c r="Q23"/>
  <c r="S22"/>
  <c r="Z22" s="1"/>
  <c r="AF22" s="1"/>
  <c r="Q22"/>
  <c r="S21"/>
  <c r="Z21" s="1"/>
  <c r="AF21" s="1"/>
  <c r="Q21"/>
  <c r="S20"/>
  <c r="Z20" s="1"/>
  <c r="AF20" s="1"/>
  <c r="Q20"/>
  <c r="S19"/>
  <c r="U19" s="1"/>
  <c r="Q19"/>
  <c r="Z18"/>
  <c r="AF18" s="1"/>
  <c r="AG18" s="1"/>
  <c r="AH18" s="1"/>
  <c r="S17"/>
  <c r="Z17" s="1"/>
  <c r="AF17" s="1"/>
  <c r="Q17"/>
  <c r="S16"/>
  <c r="Z16" s="1"/>
  <c r="AF16" s="1"/>
  <c r="Q16"/>
  <c r="S15"/>
  <c r="Z15" s="1"/>
  <c r="AF15" s="1"/>
  <c r="Q15"/>
  <c r="S14"/>
  <c r="Q14"/>
  <c r="S13"/>
  <c r="U13" s="1"/>
  <c r="Q13"/>
  <c r="S12"/>
  <c r="U12" s="1"/>
  <c r="Q12"/>
  <c r="Q11"/>
  <c r="S10"/>
  <c r="Z10" s="1"/>
  <c r="AF10" s="1"/>
  <c r="Q10"/>
  <c r="S9"/>
  <c r="U9" s="1"/>
  <c r="Q9"/>
  <c r="R73"/>
  <c r="D76" s="1"/>
  <c r="Q8"/>
  <c r="S7"/>
  <c r="U7" s="1"/>
  <c r="Q7"/>
  <c r="G73"/>
  <c r="F77" i="889"/>
  <c r="R75"/>
  <c r="R76"/>
  <c r="R74"/>
  <c r="R71"/>
  <c r="R69"/>
  <c r="R14"/>
  <c r="R8"/>
  <c r="R76" i="888"/>
  <c r="R75"/>
  <c r="R74"/>
  <c r="G8" i="889"/>
  <c r="G7"/>
  <c r="Z73" i="896" l="1"/>
  <c r="AF73"/>
  <c r="AG7"/>
  <c r="AG11"/>
  <c r="AH11" s="1"/>
  <c r="U73"/>
  <c r="X118" i="895"/>
  <c r="U12"/>
  <c r="AG12" s="1"/>
  <c r="AH12" s="1"/>
  <c r="U36"/>
  <c r="U37"/>
  <c r="AG37" s="1"/>
  <c r="AH37" s="1"/>
  <c r="U51"/>
  <c r="AG51" s="1"/>
  <c r="AH51" s="1"/>
  <c r="U64"/>
  <c r="AG64" s="1"/>
  <c r="AH64" s="1"/>
  <c r="AG9"/>
  <c r="AH9" s="1"/>
  <c r="Z8"/>
  <c r="AF8" s="1"/>
  <c r="AG8" s="1"/>
  <c r="AH8" s="1"/>
  <c r="U49"/>
  <c r="AG49" s="1"/>
  <c r="AH49" s="1"/>
  <c r="U50"/>
  <c r="AG50" s="1"/>
  <c r="AH50" s="1"/>
  <c r="U62"/>
  <c r="AG62" s="1"/>
  <c r="AH62" s="1"/>
  <c r="Q73"/>
  <c r="E74" s="1"/>
  <c r="U11"/>
  <c r="AG11" s="1"/>
  <c r="AH11" s="1"/>
  <c r="U16"/>
  <c r="AG16" s="1"/>
  <c r="AH16" s="1"/>
  <c r="U19"/>
  <c r="AG19" s="1"/>
  <c r="AH19" s="1"/>
  <c r="U26"/>
  <c r="AG26" s="1"/>
  <c r="AH26" s="1"/>
  <c r="U27"/>
  <c r="AG27" s="1"/>
  <c r="AH27" s="1"/>
  <c r="U32"/>
  <c r="AG32" s="1"/>
  <c r="AH32" s="1"/>
  <c r="U33"/>
  <c r="AG33" s="1"/>
  <c r="AH33" s="1"/>
  <c r="U41"/>
  <c r="AG41" s="1"/>
  <c r="AH41" s="1"/>
  <c r="U42"/>
  <c r="AG42" s="1"/>
  <c r="AH42" s="1"/>
  <c r="U46"/>
  <c r="AG46" s="1"/>
  <c r="AH46" s="1"/>
  <c r="U47"/>
  <c r="AG47" s="1"/>
  <c r="AH47" s="1"/>
  <c r="U55"/>
  <c r="AG55" s="1"/>
  <c r="AH55" s="1"/>
  <c r="U56"/>
  <c r="AG56" s="1"/>
  <c r="AH56" s="1"/>
  <c r="U59"/>
  <c r="AG59" s="1"/>
  <c r="AH59" s="1"/>
  <c r="U60"/>
  <c r="AG60" s="1"/>
  <c r="AH60" s="1"/>
  <c r="U67"/>
  <c r="AG67" s="1"/>
  <c r="AH67" s="1"/>
  <c r="AG13"/>
  <c r="AH13" s="1"/>
  <c r="AG69"/>
  <c r="AH69" s="1"/>
  <c r="AG23"/>
  <c r="AH23" s="1"/>
  <c r="AG52"/>
  <c r="AH52" s="1"/>
  <c r="U25"/>
  <c r="AG25" s="1"/>
  <c r="AH25" s="1"/>
  <c r="U31"/>
  <c r="AG31" s="1"/>
  <c r="AH31" s="1"/>
  <c r="U39"/>
  <c r="AG39" s="1"/>
  <c r="AH39" s="1"/>
  <c r="U40"/>
  <c r="AG40" s="1"/>
  <c r="AH40" s="1"/>
  <c r="U45"/>
  <c r="AG45" s="1"/>
  <c r="AH45" s="1"/>
  <c r="U54"/>
  <c r="AG17"/>
  <c r="AH17" s="1"/>
  <c r="AG68"/>
  <c r="AH68" s="1"/>
  <c r="AG22"/>
  <c r="AH22" s="1"/>
  <c r="AG36"/>
  <c r="AH36" s="1"/>
  <c r="AG63"/>
  <c r="AH63" s="1"/>
  <c r="AF7"/>
  <c r="AG7" s="1"/>
  <c r="AG54"/>
  <c r="AH54" s="1"/>
  <c r="Z10"/>
  <c r="AF10" s="1"/>
  <c r="AG10" s="1"/>
  <c r="AH10" s="1"/>
  <c r="Z15"/>
  <c r="AF15" s="1"/>
  <c r="AG15" s="1"/>
  <c r="AH15" s="1"/>
  <c r="Z20"/>
  <c r="AF20" s="1"/>
  <c r="AG20" s="1"/>
  <c r="AH20" s="1"/>
  <c r="Z24"/>
  <c r="AF24" s="1"/>
  <c r="AG24" s="1"/>
  <c r="AH24" s="1"/>
  <c r="U28"/>
  <c r="AG28" s="1"/>
  <c r="AH28" s="1"/>
  <c r="U29"/>
  <c r="AG29" s="1"/>
  <c r="AH29" s="1"/>
  <c r="Z30"/>
  <c r="AF30" s="1"/>
  <c r="AG30" s="1"/>
  <c r="AH30" s="1"/>
  <c r="Z34"/>
  <c r="AF34" s="1"/>
  <c r="AG34" s="1"/>
  <c r="AH34" s="1"/>
  <c r="Z38"/>
  <c r="AF38" s="1"/>
  <c r="AG38" s="1"/>
  <c r="AH38" s="1"/>
  <c r="Z44"/>
  <c r="AF44" s="1"/>
  <c r="AG44" s="1"/>
  <c r="AH44" s="1"/>
  <c r="Z48"/>
  <c r="AF48" s="1"/>
  <c r="AG48" s="1"/>
  <c r="AH48" s="1"/>
  <c r="Z53"/>
  <c r="AF53" s="1"/>
  <c r="AG53" s="1"/>
  <c r="AH53" s="1"/>
  <c r="U57"/>
  <c r="AG57" s="1"/>
  <c r="AH57" s="1"/>
  <c r="Z61"/>
  <c r="AF61" s="1"/>
  <c r="AG61" s="1"/>
  <c r="AH61" s="1"/>
  <c r="Z65"/>
  <c r="AF65" s="1"/>
  <c r="AG65" s="1"/>
  <c r="AH65" s="1"/>
  <c r="Z70"/>
  <c r="AF70" s="1"/>
  <c r="AG70" s="1"/>
  <c r="AH70" s="1"/>
  <c r="Z71"/>
  <c r="AF71" s="1"/>
  <c r="AG71" s="1"/>
  <c r="AH71" s="1"/>
  <c r="S73"/>
  <c r="S14"/>
  <c r="R80" i="894"/>
  <c r="Z71"/>
  <c r="AF71" s="1"/>
  <c r="S14"/>
  <c r="Z14" s="1"/>
  <c r="AF14" s="1"/>
  <c r="U9"/>
  <c r="Z10"/>
  <c r="AF10" s="1"/>
  <c r="Z41"/>
  <c r="AF41" s="1"/>
  <c r="Z59"/>
  <c r="AF59" s="1"/>
  <c r="U21"/>
  <c r="AG21" s="1"/>
  <c r="AH21" s="1"/>
  <c r="U31"/>
  <c r="AG31" s="1"/>
  <c r="AH31" s="1"/>
  <c r="U49"/>
  <c r="AG49" s="1"/>
  <c r="AH49" s="1"/>
  <c r="U50"/>
  <c r="AG50" s="1"/>
  <c r="AH50" s="1"/>
  <c r="Z51"/>
  <c r="AF51" s="1"/>
  <c r="AG51" s="1"/>
  <c r="AH51" s="1"/>
  <c r="Z52"/>
  <c r="AF52" s="1"/>
  <c r="AG52" s="1"/>
  <c r="AH52" s="1"/>
  <c r="U55"/>
  <c r="Z60"/>
  <c r="AF60" s="1"/>
  <c r="Q73"/>
  <c r="E74" s="1"/>
  <c r="U8"/>
  <c r="AG8" s="1"/>
  <c r="AH8" s="1"/>
  <c r="Z22"/>
  <c r="AF22" s="1"/>
  <c r="AG22" s="1"/>
  <c r="AH22" s="1"/>
  <c r="U32"/>
  <c r="U39"/>
  <c r="AG39" s="1"/>
  <c r="AH39" s="1"/>
  <c r="U40"/>
  <c r="AG40" s="1"/>
  <c r="AH40" s="1"/>
  <c r="U45"/>
  <c r="AG45" s="1"/>
  <c r="AH45" s="1"/>
  <c r="Z56"/>
  <c r="AF56" s="1"/>
  <c r="AG32"/>
  <c r="AH32" s="1"/>
  <c r="AG55"/>
  <c r="AH55" s="1"/>
  <c r="AG33"/>
  <c r="AH33" s="1"/>
  <c r="AG56"/>
  <c r="AH56" s="1"/>
  <c r="AG10"/>
  <c r="AH10" s="1"/>
  <c r="U15"/>
  <c r="AG15" s="1"/>
  <c r="AH15" s="1"/>
  <c r="Z16"/>
  <c r="AF16" s="1"/>
  <c r="AG16" s="1"/>
  <c r="AH16" s="1"/>
  <c r="U24"/>
  <c r="AG24" s="1"/>
  <c r="AH24" s="1"/>
  <c r="Z25"/>
  <c r="AF25" s="1"/>
  <c r="AG25" s="1"/>
  <c r="AH25" s="1"/>
  <c r="U35"/>
  <c r="AG35" s="1"/>
  <c r="AH35" s="1"/>
  <c r="Z36"/>
  <c r="AF36" s="1"/>
  <c r="AG36" s="1"/>
  <c r="AH36" s="1"/>
  <c r="Z42"/>
  <c r="AF42" s="1"/>
  <c r="AG42" s="1"/>
  <c r="AH42" s="1"/>
  <c r="Z46"/>
  <c r="AF46" s="1"/>
  <c r="AG46" s="1"/>
  <c r="AH46" s="1"/>
  <c r="AG64"/>
  <c r="AH64" s="1"/>
  <c r="AG71"/>
  <c r="AH71" s="1"/>
  <c r="Z17"/>
  <c r="AF17" s="1"/>
  <c r="AG17" s="1"/>
  <c r="AH17" s="1"/>
  <c r="U20"/>
  <c r="AG20" s="1"/>
  <c r="AH20" s="1"/>
  <c r="Z26"/>
  <c r="AF26" s="1"/>
  <c r="AG26" s="1"/>
  <c r="AH26" s="1"/>
  <c r="U30"/>
  <c r="Z37"/>
  <c r="AF37" s="1"/>
  <c r="AG37" s="1"/>
  <c r="AH37" s="1"/>
  <c r="Z47"/>
  <c r="AF47" s="1"/>
  <c r="AG47" s="1"/>
  <c r="AH47" s="1"/>
  <c r="U54"/>
  <c r="AG60"/>
  <c r="AH60" s="1"/>
  <c r="Z70"/>
  <c r="AF70" s="1"/>
  <c r="U70"/>
  <c r="U69"/>
  <c r="Z69"/>
  <c r="AF69" s="1"/>
  <c r="AG9"/>
  <c r="AH9" s="1"/>
  <c r="AG63"/>
  <c r="AH63" s="1"/>
  <c r="AG68"/>
  <c r="AH68" s="1"/>
  <c r="AG41"/>
  <c r="AH41" s="1"/>
  <c r="AG58"/>
  <c r="AH58" s="1"/>
  <c r="AG59"/>
  <c r="AH59" s="1"/>
  <c r="AF7"/>
  <c r="AG30"/>
  <c r="AH30" s="1"/>
  <c r="AG54"/>
  <c r="AH54" s="1"/>
  <c r="P73"/>
  <c r="Z57"/>
  <c r="AF57" s="1"/>
  <c r="AG57" s="1"/>
  <c r="AH57" s="1"/>
  <c r="U7"/>
  <c r="S11"/>
  <c r="U12"/>
  <c r="AG12" s="1"/>
  <c r="AH12" s="1"/>
  <c r="U19"/>
  <c r="AG19" s="1"/>
  <c r="AH19" s="1"/>
  <c r="U23"/>
  <c r="AG23" s="1"/>
  <c r="AH23" s="1"/>
  <c r="U27"/>
  <c r="AG27" s="1"/>
  <c r="AH27" s="1"/>
  <c r="U28"/>
  <c r="AG28" s="1"/>
  <c r="AH28" s="1"/>
  <c r="U29"/>
  <c r="AG29" s="1"/>
  <c r="AH29" s="1"/>
  <c r="U34"/>
  <c r="AG34" s="1"/>
  <c r="AH34" s="1"/>
  <c r="U38"/>
  <c r="AG38" s="1"/>
  <c r="AH38" s="1"/>
  <c r="U44"/>
  <c r="AG44" s="1"/>
  <c r="AH44" s="1"/>
  <c r="U48"/>
  <c r="AG48" s="1"/>
  <c r="AH48" s="1"/>
  <c r="U53"/>
  <c r="AG53" s="1"/>
  <c r="AH53" s="1"/>
  <c r="U61"/>
  <c r="AG61" s="1"/>
  <c r="AH61" s="1"/>
  <c r="U65"/>
  <c r="AG65" s="1"/>
  <c r="AH65" s="1"/>
  <c r="X118" i="893"/>
  <c r="R73"/>
  <c r="D76" s="1"/>
  <c r="S14"/>
  <c r="Z14" s="1"/>
  <c r="AF14" s="1"/>
  <c r="P73"/>
  <c r="Q73"/>
  <c r="E74" s="1"/>
  <c r="D73"/>
  <c r="E75" s="1"/>
  <c r="Z16"/>
  <c r="AF16" s="1"/>
  <c r="AG16" s="1"/>
  <c r="AH16" s="1"/>
  <c r="Z22"/>
  <c r="AF22" s="1"/>
  <c r="AG22" s="1"/>
  <c r="AH22" s="1"/>
  <c r="Z52"/>
  <c r="AF52" s="1"/>
  <c r="U55"/>
  <c r="U59"/>
  <c r="AG59" s="1"/>
  <c r="AH59" s="1"/>
  <c r="U62"/>
  <c r="AG62" s="1"/>
  <c r="AH62" s="1"/>
  <c r="U21"/>
  <c r="AG21" s="1"/>
  <c r="AH21" s="1"/>
  <c r="Z37"/>
  <c r="AF37" s="1"/>
  <c r="AG37" s="1"/>
  <c r="AH37" s="1"/>
  <c r="AG52"/>
  <c r="AH52" s="1"/>
  <c r="U56"/>
  <c r="Z64"/>
  <c r="AF64" s="1"/>
  <c r="U68"/>
  <c r="AG68" s="1"/>
  <c r="AH68" s="1"/>
  <c r="U69"/>
  <c r="AG69" s="1"/>
  <c r="AH69" s="1"/>
  <c r="AG64"/>
  <c r="AH64" s="1"/>
  <c r="U13"/>
  <c r="AG13" s="1"/>
  <c r="AH13" s="1"/>
  <c r="AG23"/>
  <c r="AH23" s="1"/>
  <c r="AG27"/>
  <c r="AH27" s="1"/>
  <c r="AG33"/>
  <c r="AH33" s="1"/>
  <c r="AG41"/>
  <c r="AH41" s="1"/>
  <c r="AG47"/>
  <c r="AH47" s="1"/>
  <c r="AG55"/>
  <c r="AH55" s="1"/>
  <c r="AG60"/>
  <c r="AH60" s="1"/>
  <c r="Z11"/>
  <c r="AF11" s="1"/>
  <c r="AG11" s="1"/>
  <c r="AH11" s="1"/>
  <c r="AG26"/>
  <c r="AH26" s="1"/>
  <c r="AG32"/>
  <c r="AH32" s="1"/>
  <c r="AG42"/>
  <c r="AH42" s="1"/>
  <c r="AG46"/>
  <c r="AH46" s="1"/>
  <c r="AG56"/>
  <c r="AH56" s="1"/>
  <c r="Z19"/>
  <c r="AF19" s="1"/>
  <c r="AG19" s="1"/>
  <c r="AH19" s="1"/>
  <c r="U25"/>
  <c r="AG25" s="1"/>
  <c r="AH25" s="1"/>
  <c r="U31"/>
  <c r="AG31" s="1"/>
  <c r="AH31" s="1"/>
  <c r="U39"/>
  <c r="AG39" s="1"/>
  <c r="AH39" s="1"/>
  <c r="U40"/>
  <c r="AG40" s="1"/>
  <c r="AH40" s="1"/>
  <c r="U45"/>
  <c r="AG45" s="1"/>
  <c r="AH45" s="1"/>
  <c r="U54"/>
  <c r="AG54" s="1"/>
  <c r="AH54" s="1"/>
  <c r="U70"/>
  <c r="Z70"/>
  <c r="AF70" s="1"/>
  <c r="AG10"/>
  <c r="AH10" s="1"/>
  <c r="AG36"/>
  <c r="AH36" s="1"/>
  <c r="AG51"/>
  <c r="AH51" s="1"/>
  <c r="AG63"/>
  <c r="AH63" s="1"/>
  <c r="AF7"/>
  <c r="U17"/>
  <c r="Z17"/>
  <c r="AF17" s="1"/>
  <c r="U71"/>
  <c r="Z71"/>
  <c r="AF71" s="1"/>
  <c r="Z28"/>
  <c r="AF28" s="1"/>
  <c r="AG28" s="1"/>
  <c r="AH28" s="1"/>
  <c r="Z57"/>
  <c r="AF57" s="1"/>
  <c r="AG57" s="1"/>
  <c r="AH57" s="1"/>
  <c r="U7"/>
  <c r="U8"/>
  <c r="AG8" s="1"/>
  <c r="AH8" s="1"/>
  <c r="U12"/>
  <c r="AG12" s="1"/>
  <c r="AH12" s="1"/>
  <c r="U20"/>
  <c r="AG20" s="1"/>
  <c r="AH20" s="1"/>
  <c r="U24"/>
  <c r="AG24" s="1"/>
  <c r="AH24" s="1"/>
  <c r="U30"/>
  <c r="AG30" s="1"/>
  <c r="AH30" s="1"/>
  <c r="U34"/>
  <c r="AG34" s="1"/>
  <c r="AH34" s="1"/>
  <c r="U38"/>
  <c r="AG38" s="1"/>
  <c r="AH38" s="1"/>
  <c r="U44"/>
  <c r="AG44" s="1"/>
  <c r="AH44" s="1"/>
  <c r="U48"/>
  <c r="AG48" s="1"/>
  <c r="AH48" s="1"/>
  <c r="U53"/>
  <c r="AG53" s="1"/>
  <c r="AH53" s="1"/>
  <c r="U61"/>
  <c r="AG61" s="1"/>
  <c r="AH61" s="1"/>
  <c r="U65"/>
  <c r="AG65" s="1"/>
  <c r="AH65" s="1"/>
  <c r="Z29"/>
  <c r="AF29" s="1"/>
  <c r="AG29" s="1"/>
  <c r="AH29" s="1"/>
  <c r="X118" i="892"/>
  <c r="R73"/>
  <c r="D76" s="1"/>
  <c r="Z19"/>
  <c r="AF19" s="1"/>
  <c r="AG19" s="1"/>
  <c r="AH19" s="1"/>
  <c r="Z54"/>
  <c r="AF54" s="1"/>
  <c r="AG54" s="1"/>
  <c r="AH54" s="1"/>
  <c r="U60"/>
  <c r="AG60" s="1"/>
  <c r="AH60" s="1"/>
  <c r="Z36"/>
  <c r="AF36" s="1"/>
  <c r="AG36"/>
  <c r="AH36" s="1"/>
  <c r="Z16"/>
  <c r="AF16" s="1"/>
  <c r="AG16" s="1"/>
  <c r="AH16" s="1"/>
  <c r="Z22"/>
  <c r="AF22" s="1"/>
  <c r="Z61"/>
  <c r="AF61" s="1"/>
  <c r="AG61" s="1"/>
  <c r="AH61" s="1"/>
  <c r="AG30"/>
  <c r="AH30" s="1"/>
  <c r="Q73"/>
  <c r="E74" s="1"/>
  <c r="Z17"/>
  <c r="AF17" s="1"/>
  <c r="AG17" s="1"/>
  <c r="AH17" s="1"/>
  <c r="Z23"/>
  <c r="AF23" s="1"/>
  <c r="AG23" s="1"/>
  <c r="AH23" s="1"/>
  <c r="U26"/>
  <c r="AG26" s="1"/>
  <c r="AH26" s="1"/>
  <c r="Z30"/>
  <c r="AF30" s="1"/>
  <c r="U35"/>
  <c r="Z49"/>
  <c r="AF49" s="1"/>
  <c r="AG49" s="1"/>
  <c r="AH49" s="1"/>
  <c r="Z62"/>
  <c r="AF62" s="1"/>
  <c r="AG62" s="1"/>
  <c r="AH62" s="1"/>
  <c r="U65"/>
  <c r="AG65" s="1"/>
  <c r="AH65" s="1"/>
  <c r="Z57"/>
  <c r="AF57" s="1"/>
  <c r="U9"/>
  <c r="AG9" s="1"/>
  <c r="AH9" s="1"/>
  <c r="Z10"/>
  <c r="AF10" s="1"/>
  <c r="AG10" s="1"/>
  <c r="AH10" s="1"/>
  <c r="Z31"/>
  <c r="AF31" s="1"/>
  <c r="Z37"/>
  <c r="AF37" s="1"/>
  <c r="AG37" s="1"/>
  <c r="AH37" s="1"/>
  <c r="AG45"/>
  <c r="AH45" s="1"/>
  <c r="U56"/>
  <c r="AG27"/>
  <c r="AH27" s="1"/>
  <c r="Z11"/>
  <c r="AF11" s="1"/>
  <c r="AG11" s="1"/>
  <c r="AH11" s="1"/>
  <c r="U25"/>
  <c r="AG25" s="1"/>
  <c r="AH25" s="1"/>
  <c r="AG31"/>
  <c r="AH31" s="1"/>
  <c r="Z33"/>
  <c r="AF33" s="1"/>
  <c r="AG33" s="1"/>
  <c r="AH33" s="1"/>
  <c r="U47"/>
  <c r="AG47" s="1"/>
  <c r="AH47" s="1"/>
  <c r="U52"/>
  <c r="AG52" s="1"/>
  <c r="AH52" s="1"/>
  <c r="U64"/>
  <c r="AG64" s="1"/>
  <c r="AH64" s="1"/>
  <c r="Z67"/>
  <c r="AF67" s="1"/>
  <c r="AG67" s="1"/>
  <c r="AH67" s="1"/>
  <c r="Z29"/>
  <c r="AF29" s="1"/>
  <c r="U29"/>
  <c r="U38"/>
  <c r="Z38"/>
  <c r="AF38" s="1"/>
  <c r="U32"/>
  <c r="Z32"/>
  <c r="AF32" s="1"/>
  <c r="AG22"/>
  <c r="AH22" s="1"/>
  <c r="AG35"/>
  <c r="AH35" s="1"/>
  <c r="AG56"/>
  <c r="AH56" s="1"/>
  <c r="AG57"/>
  <c r="AH57" s="1"/>
  <c r="Z28"/>
  <c r="AF28" s="1"/>
  <c r="U28"/>
  <c r="U12"/>
  <c r="Z12"/>
  <c r="AF12" s="1"/>
  <c r="AG48"/>
  <c r="AH48" s="1"/>
  <c r="AG53"/>
  <c r="AH53" s="1"/>
  <c r="AG44"/>
  <c r="AH44" s="1"/>
  <c r="Z7"/>
  <c r="Z8"/>
  <c r="AF8" s="1"/>
  <c r="AG8" s="1"/>
  <c r="AH8" s="1"/>
  <c r="Z13"/>
  <c r="AF13" s="1"/>
  <c r="AG13" s="1"/>
  <c r="AH13" s="1"/>
  <c r="Z14"/>
  <c r="AF14" s="1"/>
  <c r="AG14" s="1"/>
  <c r="AH14" s="1"/>
  <c r="Z20"/>
  <c r="AF20" s="1"/>
  <c r="AG20" s="1"/>
  <c r="AH20" s="1"/>
  <c r="Z24"/>
  <c r="AF24" s="1"/>
  <c r="AG24" s="1"/>
  <c r="AH24" s="1"/>
  <c r="Z34"/>
  <c r="AF34" s="1"/>
  <c r="AG34" s="1"/>
  <c r="AH34" s="1"/>
  <c r="Z39"/>
  <c r="AF39" s="1"/>
  <c r="AG39" s="1"/>
  <c r="AH39" s="1"/>
  <c r="Z40"/>
  <c r="AF40" s="1"/>
  <c r="AG40" s="1"/>
  <c r="AH40" s="1"/>
  <c r="Z41"/>
  <c r="AF41" s="1"/>
  <c r="AG41" s="1"/>
  <c r="AH41" s="1"/>
  <c r="Z46"/>
  <c r="AF46" s="1"/>
  <c r="AG46" s="1"/>
  <c r="AH46" s="1"/>
  <c r="U50"/>
  <c r="AG50" s="1"/>
  <c r="AH50" s="1"/>
  <c r="Z51"/>
  <c r="AF51" s="1"/>
  <c r="AG51" s="1"/>
  <c r="AH51" s="1"/>
  <c r="Z55"/>
  <c r="AF55" s="1"/>
  <c r="AG55" s="1"/>
  <c r="AH55" s="1"/>
  <c r="Z59"/>
  <c r="AF59" s="1"/>
  <c r="AG59" s="1"/>
  <c r="AH59" s="1"/>
  <c r="Z63"/>
  <c r="AF63" s="1"/>
  <c r="AG63" s="1"/>
  <c r="AH63" s="1"/>
  <c r="Z68"/>
  <c r="AF68" s="1"/>
  <c r="AG68" s="1"/>
  <c r="AH68" s="1"/>
  <c r="Z69"/>
  <c r="AF69" s="1"/>
  <c r="AG69" s="1"/>
  <c r="AH69" s="1"/>
  <c r="Z70"/>
  <c r="AF70" s="1"/>
  <c r="AG70" s="1"/>
  <c r="AH70" s="1"/>
  <c r="Z71"/>
  <c r="AF71" s="1"/>
  <c r="AG71" s="1"/>
  <c r="AH71" s="1"/>
  <c r="C73"/>
  <c r="S73"/>
  <c r="T74" i="891"/>
  <c r="X118"/>
  <c r="X118" i="890"/>
  <c r="R80" i="891"/>
  <c r="S32"/>
  <c r="U32" s="1"/>
  <c r="Z16"/>
  <c r="AF16" s="1"/>
  <c r="AG16" s="1"/>
  <c r="AH16" s="1"/>
  <c r="U8"/>
  <c r="AG8" s="1"/>
  <c r="AH8" s="1"/>
  <c r="R73"/>
  <c r="D76" s="1"/>
  <c r="S71"/>
  <c r="U71" s="1"/>
  <c r="Z9"/>
  <c r="AF9" s="1"/>
  <c r="Z21"/>
  <c r="AF21" s="1"/>
  <c r="U24"/>
  <c r="U34"/>
  <c r="AG34" s="1"/>
  <c r="AH34" s="1"/>
  <c r="U48"/>
  <c r="AG48" s="1"/>
  <c r="AH48" s="1"/>
  <c r="Q73"/>
  <c r="E74" s="1"/>
  <c r="Z50"/>
  <c r="AF50" s="1"/>
  <c r="AG50" s="1"/>
  <c r="AH50" s="1"/>
  <c r="Z10"/>
  <c r="AF10" s="1"/>
  <c r="U13"/>
  <c r="AG13" s="1"/>
  <c r="AH13" s="1"/>
  <c r="U14"/>
  <c r="AG14" s="1"/>
  <c r="AH14" s="1"/>
  <c r="Z30"/>
  <c r="AF30" s="1"/>
  <c r="AG30" s="1"/>
  <c r="AH30" s="1"/>
  <c r="U39"/>
  <c r="Z49"/>
  <c r="AF49" s="1"/>
  <c r="AG49" s="1"/>
  <c r="AH49" s="1"/>
  <c r="Z51"/>
  <c r="AF51" s="1"/>
  <c r="AG51" s="1"/>
  <c r="AH51" s="1"/>
  <c r="U54"/>
  <c r="Z67"/>
  <c r="AF67" s="1"/>
  <c r="Z69"/>
  <c r="AF69" s="1"/>
  <c r="AG69" s="1"/>
  <c r="AH69" s="1"/>
  <c r="Z15"/>
  <c r="AF15" s="1"/>
  <c r="AG15" s="1"/>
  <c r="AH15" s="1"/>
  <c r="U19"/>
  <c r="AG19" s="1"/>
  <c r="AH19" s="1"/>
  <c r="U23"/>
  <c r="AG23" s="1"/>
  <c r="AH23" s="1"/>
  <c r="U33"/>
  <c r="AG33" s="1"/>
  <c r="AH33" s="1"/>
  <c r="Z55"/>
  <c r="AF55" s="1"/>
  <c r="AG55" s="1"/>
  <c r="AH55" s="1"/>
  <c r="U65"/>
  <c r="AG65" s="1"/>
  <c r="AH65" s="1"/>
  <c r="Z68"/>
  <c r="AF68" s="1"/>
  <c r="AG39"/>
  <c r="AH39" s="1"/>
  <c r="Z29"/>
  <c r="AF29" s="1"/>
  <c r="AG29" s="1"/>
  <c r="AH29" s="1"/>
  <c r="AG59"/>
  <c r="AH59" s="1"/>
  <c r="AG10"/>
  <c r="AH10" s="1"/>
  <c r="AG25"/>
  <c r="AH25" s="1"/>
  <c r="Z28"/>
  <c r="AF28" s="1"/>
  <c r="AG28" s="1"/>
  <c r="AH28" s="1"/>
  <c r="Z31"/>
  <c r="AF31" s="1"/>
  <c r="AG31" s="1"/>
  <c r="AH31" s="1"/>
  <c r="AG35"/>
  <c r="AH35" s="1"/>
  <c r="Z40"/>
  <c r="AF40" s="1"/>
  <c r="AG40" s="1"/>
  <c r="AH40" s="1"/>
  <c r="U44"/>
  <c r="AG44" s="1"/>
  <c r="AH44" s="1"/>
  <c r="Z45"/>
  <c r="AF45" s="1"/>
  <c r="AG45" s="1"/>
  <c r="AH45" s="1"/>
  <c r="U61"/>
  <c r="Z62"/>
  <c r="AF62" s="1"/>
  <c r="AG62" s="1"/>
  <c r="AH62" s="1"/>
  <c r="AG68"/>
  <c r="AH68" s="1"/>
  <c r="AG54"/>
  <c r="AH54" s="1"/>
  <c r="AG21"/>
  <c r="AH21" s="1"/>
  <c r="U27"/>
  <c r="AG27" s="1"/>
  <c r="AH27" s="1"/>
  <c r="U37"/>
  <c r="AG37" s="1"/>
  <c r="AH37" s="1"/>
  <c r="U38"/>
  <c r="AG38" s="1"/>
  <c r="AH38" s="1"/>
  <c r="Z41"/>
  <c r="AF41" s="1"/>
  <c r="AG41" s="1"/>
  <c r="AH41" s="1"/>
  <c r="Z46"/>
  <c r="AF46" s="1"/>
  <c r="AG46" s="1"/>
  <c r="AH46" s="1"/>
  <c r="U53"/>
  <c r="Z63"/>
  <c r="AF63" s="1"/>
  <c r="AG63" s="1"/>
  <c r="AH63" s="1"/>
  <c r="AG9"/>
  <c r="AH9" s="1"/>
  <c r="AG24"/>
  <c r="AH24" s="1"/>
  <c r="AG67"/>
  <c r="AH67" s="1"/>
  <c r="AG20"/>
  <c r="AH20" s="1"/>
  <c r="AG61"/>
  <c r="AH61" s="1"/>
  <c r="AG53"/>
  <c r="AH53" s="1"/>
  <c r="Z7"/>
  <c r="Z12"/>
  <c r="AF12" s="1"/>
  <c r="AG12" s="1"/>
  <c r="AH12" s="1"/>
  <c r="Z17"/>
  <c r="AF17" s="1"/>
  <c r="AG17" s="1"/>
  <c r="AH17" s="1"/>
  <c r="Z22"/>
  <c r="AF22" s="1"/>
  <c r="AG22" s="1"/>
  <c r="AH22" s="1"/>
  <c r="Z26"/>
  <c r="AF26" s="1"/>
  <c r="AG26" s="1"/>
  <c r="AH26" s="1"/>
  <c r="Z36"/>
  <c r="AF36" s="1"/>
  <c r="AG36" s="1"/>
  <c r="AH36" s="1"/>
  <c r="Z42"/>
  <c r="AF42" s="1"/>
  <c r="AG42" s="1"/>
  <c r="AH42" s="1"/>
  <c r="Z47"/>
  <c r="AF47" s="1"/>
  <c r="AG47" s="1"/>
  <c r="AH47" s="1"/>
  <c r="Z52"/>
  <c r="AF52" s="1"/>
  <c r="AG52" s="1"/>
  <c r="AH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Z70"/>
  <c r="AF70" s="1"/>
  <c r="AG70" s="1"/>
  <c r="AH70" s="1"/>
  <c r="S11"/>
  <c r="S38" i="890"/>
  <c r="Z38" s="1"/>
  <c r="AF38" s="1"/>
  <c r="U11"/>
  <c r="AG11" s="1"/>
  <c r="AH11" s="1"/>
  <c r="Z19"/>
  <c r="AF19" s="1"/>
  <c r="AG19" s="1"/>
  <c r="AH19" s="1"/>
  <c r="U22"/>
  <c r="U31"/>
  <c r="AG31" s="1"/>
  <c r="AH31" s="1"/>
  <c r="Z41"/>
  <c r="AF41" s="1"/>
  <c r="U49"/>
  <c r="AG49" s="1"/>
  <c r="AH49" s="1"/>
  <c r="U50"/>
  <c r="AG50" s="1"/>
  <c r="AH50" s="1"/>
  <c r="Z56"/>
  <c r="AF56" s="1"/>
  <c r="AG56" s="1"/>
  <c r="AH56" s="1"/>
  <c r="Z60"/>
  <c r="AF60" s="1"/>
  <c r="Z7"/>
  <c r="AF7" s="1"/>
  <c r="AG7" s="1"/>
  <c r="Z23"/>
  <c r="AF23" s="1"/>
  <c r="Z42"/>
  <c r="AF42" s="1"/>
  <c r="U45"/>
  <c r="U51"/>
  <c r="Z12"/>
  <c r="AF12" s="1"/>
  <c r="Z32"/>
  <c r="AF32" s="1"/>
  <c r="AG32" s="1"/>
  <c r="AH32" s="1"/>
  <c r="Z13"/>
  <c r="AF13" s="1"/>
  <c r="AG13" s="1"/>
  <c r="AH13" s="1"/>
  <c r="U16"/>
  <c r="AG16" s="1"/>
  <c r="AH16" s="1"/>
  <c r="U21"/>
  <c r="AG21" s="1"/>
  <c r="AH21" s="1"/>
  <c r="Z33"/>
  <c r="AF33" s="1"/>
  <c r="U36"/>
  <c r="AG36" s="1"/>
  <c r="AH36" s="1"/>
  <c r="U39"/>
  <c r="U63"/>
  <c r="Z64"/>
  <c r="AF64" s="1"/>
  <c r="AG64" s="1"/>
  <c r="AH64" s="1"/>
  <c r="U68"/>
  <c r="AG68" s="1"/>
  <c r="AH68" s="1"/>
  <c r="Q73"/>
  <c r="E74" s="1"/>
  <c r="AG27"/>
  <c r="AH27" s="1"/>
  <c r="AG12"/>
  <c r="AH12" s="1"/>
  <c r="AG33"/>
  <c r="AH33" s="1"/>
  <c r="AG41"/>
  <c r="AH41" s="1"/>
  <c r="Z9"/>
  <c r="AF9" s="1"/>
  <c r="U17"/>
  <c r="AG17" s="1"/>
  <c r="AH17" s="1"/>
  <c r="U25"/>
  <c r="AG25" s="1"/>
  <c r="AH25" s="1"/>
  <c r="U35"/>
  <c r="AG35" s="1"/>
  <c r="AH35" s="1"/>
  <c r="AG42"/>
  <c r="AH42" s="1"/>
  <c r="U46"/>
  <c r="AG46" s="1"/>
  <c r="AH46" s="1"/>
  <c r="Z47"/>
  <c r="AF47" s="1"/>
  <c r="AG47" s="1"/>
  <c r="AH47" s="1"/>
  <c r="U54"/>
  <c r="AG54" s="1"/>
  <c r="AH54" s="1"/>
  <c r="AG60"/>
  <c r="AH60" s="1"/>
  <c r="Z70"/>
  <c r="AF70" s="1"/>
  <c r="AG70" s="1"/>
  <c r="AH70" s="1"/>
  <c r="AG9"/>
  <c r="AH9" s="1"/>
  <c r="AG37"/>
  <c r="AH37" s="1"/>
  <c r="Z40"/>
  <c r="AF40" s="1"/>
  <c r="AG40" s="1"/>
  <c r="AH40" s="1"/>
  <c r="AG23"/>
  <c r="AH23" s="1"/>
  <c r="AG52"/>
  <c r="AH52" s="1"/>
  <c r="AG59"/>
  <c r="AH59" s="1"/>
  <c r="U71"/>
  <c r="Z71"/>
  <c r="AF71" s="1"/>
  <c r="AG26"/>
  <c r="AH26" s="1"/>
  <c r="AG55"/>
  <c r="AH55" s="1"/>
  <c r="AG22"/>
  <c r="AH22" s="1"/>
  <c r="AG51"/>
  <c r="AH51" s="1"/>
  <c r="AG63"/>
  <c r="AH63" s="1"/>
  <c r="U14"/>
  <c r="Z14"/>
  <c r="AF14" s="1"/>
  <c r="U69"/>
  <c r="Z69"/>
  <c r="AF69" s="1"/>
  <c r="AG39"/>
  <c r="AH39" s="1"/>
  <c r="AG45"/>
  <c r="AH45" s="1"/>
  <c r="Z57"/>
  <c r="AF57" s="1"/>
  <c r="AG57" s="1"/>
  <c r="AH57" s="1"/>
  <c r="U10"/>
  <c r="AG10" s="1"/>
  <c r="AH10" s="1"/>
  <c r="U15"/>
  <c r="AG15" s="1"/>
  <c r="AH15" s="1"/>
  <c r="U20"/>
  <c r="AG20" s="1"/>
  <c r="AH20" s="1"/>
  <c r="U24"/>
  <c r="AG24" s="1"/>
  <c r="AH24" s="1"/>
  <c r="U30"/>
  <c r="AG30" s="1"/>
  <c r="AH30" s="1"/>
  <c r="U34"/>
  <c r="AG34" s="1"/>
  <c r="AH34" s="1"/>
  <c r="U38"/>
  <c r="U44"/>
  <c r="AG44" s="1"/>
  <c r="AH44" s="1"/>
  <c r="U48"/>
  <c r="AG48" s="1"/>
  <c r="AH48" s="1"/>
  <c r="U53"/>
  <c r="AG53" s="1"/>
  <c r="AH53" s="1"/>
  <c r="U61"/>
  <c r="AG61" s="1"/>
  <c r="AH61" s="1"/>
  <c r="U65"/>
  <c r="AG65" s="1"/>
  <c r="AH65" s="1"/>
  <c r="Z28"/>
  <c r="AF28" s="1"/>
  <c r="AG28" s="1"/>
  <c r="AH28" s="1"/>
  <c r="Z29"/>
  <c r="AF29" s="1"/>
  <c r="AG29" s="1"/>
  <c r="AH29" s="1"/>
  <c r="S8"/>
  <c r="X145" i="889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R77"/>
  <c r="M77"/>
  <c r="R80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C73"/>
  <c r="AF72"/>
  <c r="AG72" s="1"/>
  <c r="AH72" s="1"/>
  <c r="Z72"/>
  <c r="Q71"/>
  <c r="G73"/>
  <c r="S71"/>
  <c r="S70"/>
  <c r="Z70" s="1"/>
  <c r="AF70" s="1"/>
  <c r="Q70"/>
  <c r="S69"/>
  <c r="Q69"/>
  <c r="S68"/>
  <c r="Z68" s="1"/>
  <c r="AF68" s="1"/>
  <c r="Q68"/>
  <c r="S67"/>
  <c r="Z67" s="1"/>
  <c r="AF67" s="1"/>
  <c r="Q67"/>
  <c r="AH66"/>
  <c r="AG66"/>
  <c r="AF66"/>
  <c r="Z66"/>
  <c r="U65"/>
  <c r="S65"/>
  <c r="Z65" s="1"/>
  <c r="AF65" s="1"/>
  <c r="Q65"/>
  <c r="S64"/>
  <c r="Z64" s="1"/>
  <c r="AF64" s="1"/>
  <c r="Q64"/>
  <c r="S63"/>
  <c r="U63" s="1"/>
  <c r="Q63"/>
  <c r="S62"/>
  <c r="U62" s="1"/>
  <c r="Q62"/>
  <c r="S61"/>
  <c r="Z61" s="1"/>
  <c r="AF61" s="1"/>
  <c r="Q61"/>
  <c r="S60"/>
  <c r="Z60" s="1"/>
  <c r="AF60" s="1"/>
  <c r="Q60"/>
  <c r="S59"/>
  <c r="Z59" s="1"/>
  <c r="AF59" s="1"/>
  <c r="Q59"/>
  <c r="Z58"/>
  <c r="AF58" s="1"/>
  <c r="U58"/>
  <c r="AG58" s="1"/>
  <c r="AH58" s="1"/>
  <c r="Q58"/>
  <c r="T57"/>
  <c r="S57"/>
  <c r="Z57" s="1"/>
  <c r="AF57" s="1"/>
  <c r="Q57"/>
  <c r="S56"/>
  <c r="Z56" s="1"/>
  <c r="AF56" s="1"/>
  <c r="Q56"/>
  <c r="S55"/>
  <c r="Z55" s="1"/>
  <c r="AF55" s="1"/>
  <c r="Q55"/>
  <c r="S54"/>
  <c r="Z54" s="1"/>
  <c r="AF54" s="1"/>
  <c r="Q54"/>
  <c r="S53"/>
  <c r="Z53" s="1"/>
  <c r="AF53" s="1"/>
  <c r="Q53"/>
  <c r="S52"/>
  <c r="Z52" s="1"/>
  <c r="AF52" s="1"/>
  <c r="Q52"/>
  <c r="S51"/>
  <c r="Z51" s="1"/>
  <c r="AF51" s="1"/>
  <c r="Q51"/>
  <c r="T50"/>
  <c r="S50"/>
  <c r="Z50" s="1"/>
  <c r="AF50" s="1"/>
  <c r="Q50"/>
  <c r="S49"/>
  <c r="Z49" s="1"/>
  <c r="AF49" s="1"/>
  <c r="Q49"/>
  <c r="U48"/>
  <c r="S48"/>
  <c r="Z48" s="1"/>
  <c r="AF48" s="1"/>
  <c r="Q48"/>
  <c r="S47"/>
  <c r="Z47" s="1"/>
  <c r="AF47" s="1"/>
  <c r="Q47"/>
  <c r="S46"/>
  <c r="U46" s="1"/>
  <c r="Q46"/>
  <c r="S45"/>
  <c r="U45" s="1"/>
  <c r="Q45"/>
  <c r="S44"/>
  <c r="Z44" s="1"/>
  <c r="AF44" s="1"/>
  <c r="Q44"/>
  <c r="AG43"/>
  <c r="AH43" s="1"/>
  <c r="AF43"/>
  <c r="Z43"/>
  <c r="S42"/>
  <c r="Z42" s="1"/>
  <c r="AF42" s="1"/>
  <c r="Q42"/>
  <c r="S41"/>
  <c r="Z41" s="1"/>
  <c r="AF41" s="1"/>
  <c r="Q41"/>
  <c r="T40"/>
  <c r="S40"/>
  <c r="Z40" s="1"/>
  <c r="AF40" s="1"/>
  <c r="Q40"/>
  <c r="S39"/>
  <c r="Z39" s="1"/>
  <c r="AF39" s="1"/>
  <c r="Q39"/>
  <c r="U38"/>
  <c r="S38"/>
  <c r="Z38" s="1"/>
  <c r="AF38" s="1"/>
  <c r="Q38"/>
  <c r="S37"/>
  <c r="Z37" s="1"/>
  <c r="AF37" s="1"/>
  <c r="Q37"/>
  <c r="S36"/>
  <c r="U36" s="1"/>
  <c r="Q36"/>
  <c r="S35"/>
  <c r="U35" s="1"/>
  <c r="Q35"/>
  <c r="S34"/>
  <c r="Z34" s="1"/>
  <c r="AF34" s="1"/>
  <c r="Q34"/>
  <c r="S33"/>
  <c r="Z33" s="1"/>
  <c r="AF33" s="1"/>
  <c r="Q33"/>
  <c r="S32"/>
  <c r="Z32" s="1"/>
  <c r="AF32" s="1"/>
  <c r="Q32"/>
  <c r="S31"/>
  <c r="Z31" s="1"/>
  <c r="AF31" s="1"/>
  <c r="Q31"/>
  <c r="U30"/>
  <c r="S30"/>
  <c r="Z30" s="1"/>
  <c r="AF30" s="1"/>
  <c r="Q30"/>
  <c r="T29"/>
  <c r="S29"/>
  <c r="Z29" s="1"/>
  <c r="AF29" s="1"/>
  <c r="Q29"/>
  <c r="T28"/>
  <c r="T73" s="1"/>
  <c r="S28"/>
  <c r="Z28" s="1"/>
  <c r="AF28" s="1"/>
  <c r="Q28"/>
  <c r="S27"/>
  <c r="Z27" s="1"/>
  <c r="AF27" s="1"/>
  <c r="Q27"/>
  <c r="U26"/>
  <c r="S26"/>
  <c r="Z26" s="1"/>
  <c r="AF26" s="1"/>
  <c r="Q26"/>
  <c r="U25"/>
  <c r="S25"/>
  <c r="Z25" s="1"/>
  <c r="AF25" s="1"/>
  <c r="Q25"/>
  <c r="S24"/>
  <c r="Z24" s="1"/>
  <c r="AF24" s="1"/>
  <c r="Q24"/>
  <c r="S23"/>
  <c r="Z23" s="1"/>
  <c r="AF23" s="1"/>
  <c r="Q23"/>
  <c r="S22"/>
  <c r="U22" s="1"/>
  <c r="Q22"/>
  <c r="S21"/>
  <c r="U21" s="1"/>
  <c r="Q21"/>
  <c r="S20"/>
  <c r="Z20" s="1"/>
  <c r="AF20" s="1"/>
  <c r="Q20"/>
  <c r="S19"/>
  <c r="Z19" s="1"/>
  <c r="AF19" s="1"/>
  <c r="Q19"/>
  <c r="AF18"/>
  <c r="AG18" s="1"/>
  <c r="AH18" s="1"/>
  <c r="Z18"/>
  <c r="S17"/>
  <c r="Q17"/>
  <c r="S16"/>
  <c r="Z16" s="1"/>
  <c r="AF16" s="1"/>
  <c r="Q16"/>
  <c r="S15"/>
  <c r="Z15" s="1"/>
  <c r="AF15" s="1"/>
  <c r="Q15"/>
  <c r="Q14"/>
  <c r="S14"/>
  <c r="U13"/>
  <c r="S13"/>
  <c r="Z13" s="1"/>
  <c r="AF13" s="1"/>
  <c r="Q13"/>
  <c r="S12"/>
  <c r="Z12" s="1"/>
  <c r="AF12" s="1"/>
  <c r="Q12"/>
  <c r="S11"/>
  <c r="Z11" s="1"/>
  <c r="AF11" s="1"/>
  <c r="R73"/>
  <c r="D76" s="1"/>
  <c r="Q11"/>
  <c r="S10"/>
  <c r="Z10" s="1"/>
  <c r="AF10" s="1"/>
  <c r="Q10"/>
  <c r="U9"/>
  <c r="S9"/>
  <c r="Z9" s="1"/>
  <c r="AF9" s="1"/>
  <c r="Q9"/>
  <c r="S8"/>
  <c r="Z8" s="1"/>
  <c r="AF8" s="1"/>
  <c r="Q8"/>
  <c r="S7"/>
  <c r="U7" s="1"/>
  <c r="Q7"/>
  <c r="R17" i="888"/>
  <c r="S17" s="1"/>
  <c r="Z17" s="1"/>
  <c r="AF17" s="1"/>
  <c r="R69"/>
  <c r="R11"/>
  <c r="R14"/>
  <c r="G71"/>
  <c r="G73" s="1"/>
  <c r="D71"/>
  <c r="S71" s="1"/>
  <c r="U71" s="1"/>
  <c r="D14"/>
  <c r="X14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M77"/>
  <c r="F77"/>
  <c r="R80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AG72"/>
  <c r="AH72" s="1"/>
  <c r="AF72"/>
  <c r="Z72"/>
  <c r="Q71"/>
  <c r="S70"/>
  <c r="U70" s="1"/>
  <c r="Q70"/>
  <c r="S69"/>
  <c r="Q69"/>
  <c r="Z68"/>
  <c r="AF68" s="1"/>
  <c r="S68"/>
  <c r="U68" s="1"/>
  <c r="Q68"/>
  <c r="S67"/>
  <c r="U67" s="1"/>
  <c r="Q67"/>
  <c r="AH66"/>
  <c r="AG66"/>
  <c r="AF66"/>
  <c r="Z66"/>
  <c r="S65"/>
  <c r="Z65" s="1"/>
  <c r="AF65" s="1"/>
  <c r="Q65"/>
  <c r="S64"/>
  <c r="U64" s="1"/>
  <c r="Q64"/>
  <c r="S63"/>
  <c r="Z63" s="1"/>
  <c r="AF63" s="1"/>
  <c r="Q63"/>
  <c r="S62"/>
  <c r="Z62" s="1"/>
  <c r="AF62" s="1"/>
  <c r="Q62"/>
  <c r="S61"/>
  <c r="Z61" s="1"/>
  <c r="AF61" s="1"/>
  <c r="Q61"/>
  <c r="S60"/>
  <c r="U60" s="1"/>
  <c r="Q60"/>
  <c r="S59"/>
  <c r="Z59" s="1"/>
  <c r="AF59" s="1"/>
  <c r="Q59"/>
  <c r="Z58"/>
  <c r="AF58" s="1"/>
  <c r="U58"/>
  <c r="Q58"/>
  <c r="T57"/>
  <c r="S57"/>
  <c r="U57" s="1"/>
  <c r="Q57"/>
  <c r="S56"/>
  <c r="U56" s="1"/>
  <c r="Q56"/>
  <c r="S55"/>
  <c r="U55" s="1"/>
  <c r="Q55"/>
  <c r="S54"/>
  <c r="U54" s="1"/>
  <c r="Q54"/>
  <c r="S53"/>
  <c r="Z53" s="1"/>
  <c r="AF53" s="1"/>
  <c r="Q53"/>
  <c r="S52"/>
  <c r="U52" s="1"/>
  <c r="Q52"/>
  <c r="S51"/>
  <c r="U51" s="1"/>
  <c r="Q51"/>
  <c r="T50"/>
  <c r="S50"/>
  <c r="U50" s="1"/>
  <c r="Q50"/>
  <c r="S49"/>
  <c r="U49" s="1"/>
  <c r="Q49"/>
  <c r="S48"/>
  <c r="Z48" s="1"/>
  <c r="AF48" s="1"/>
  <c r="Q48"/>
  <c r="S47"/>
  <c r="U47" s="1"/>
  <c r="Q47"/>
  <c r="S46"/>
  <c r="Z46" s="1"/>
  <c r="AF46" s="1"/>
  <c r="Q46"/>
  <c r="S45"/>
  <c r="Z45" s="1"/>
  <c r="AF45" s="1"/>
  <c r="Q45"/>
  <c r="S44"/>
  <c r="Z44" s="1"/>
  <c r="AF44" s="1"/>
  <c r="Q44"/>
  <c r="AG43"/>
  <c r="AH43" s="1"/>
  <c r="AF43"/>
  <c r="Z43"/>
  <c r="S42"/>
  <c r="U42" s="1"/>
  <c r="Q42"/>
  <c r="S41"/>
  <c r="U41" s="1"/>
  <c r="Q41"/>
  <c r="T40"/>
  <c r="Q40"/>
  <c r="S40"/>
  <c r="Z39"/>
  <c r="AF39" s="1"/>
  <c r="S39"/>
  <c r="U39" s="1"/>
  <c r="Q39"/>
  <c r="Z38"/>
  <c r="AF38" s="1"/>
  <c r="S38"/>
  <c r="U38" s="1"/>
  <c r="Q38"/>
  <c r="S37"/>
  <c r="Z37" s="1"/>
  <c r="AF37" s="1"/>
  <c r="Q37"/>
  <c r="S36"/>
  <c r="U36" s="1"/>
  <c r="Q36"/>
  <c r="S35"/>
  <c r="U35" s="1"/>
  <c r="Q35"/>
  <c r="S34"/>
  <c r="U34" s="1"/>
  <c r="Q34"/>
  <c r="S33"/>
  <c r="Z33" s="1"/>
  <c r="AF33" s="1"/>
  <c r="Q33"/>
  <c r="S32"/>
  <c r="U32" s="1"/>
  <c r="Q32"/>
  <c r="S31"/>
  <c r="U31" s="1"/>
  <c r="Q31"/>
  <c r="S30"/>
  <c r="U30" s="1"/>
  <c r="Q30"/>
  <c r="T29"/>
  <c r="T73" s="1"/>
  <c r="Q29"/>
  <c r="C73"/>
  <c r="T28"/>
  <c r="S28"/>
  <c r="Z28" s="1"/>
  <c r="AF28" s="1"/>
  <c r="Q28"/>
  <c r="S27"/>
  <c r="U27" s="1"/>
  <c r="Q27"/>
  <c r="U26"/>
  <c r="AG26" s="1"/>
  <c r="AH26" s="1"/>
  <c r="S26"/>
  <c r="Z26" s="1"/>
  <c r="AF26" s="1"/>
  <c r="Q26"/>
  <c r="S25"/>
  <c r="U25" s="1"/>
  <c r="Q25"/>
  <c r="S24"/>
  <c r="U24" s="1"/>
  <c r="Q24"/>
  <c r="S23"/>
  <c r="U23" s="1"/>
  <c r="Q23"/>
  <c r="S22"/>
  <c r="Z22" s="1"/>
  <c r="AF22" s="1"/>
  <c r="Q22"/>
  <c r="S21"/>
  <c r="U21" s="1"/>
  <c r="Q21"/>
  <c r="S20"/>
  <c r="Z20" s="1"/>
  <c r="AF20" s="1"/>
  <c r="Q20"/>
  <c r="S19"/>
  <c r="Z19" s="1"/>
  <c r="AF19" s="1"/>
  <c r="Q19"/>
  <c r="AH18"/>
  <c r="AG18"/>
  <c r="AF18"/>
  <c r="Z18"/>
  <c r="Q17"/>
  <c r="S16"/>
  <c r="U16" s="1"/>
  <c r="Q16"/>
  <c r="S15"/>
  <c r="U15" s="1"/>
  <c r="Q15"/>
  <c r="Q14"/>
  <c r="S13"/>
  <c r="U13" s="1"/>
  <c r="Q13"/>
  <c r="S12"/>
  <c r="U12" s="1"/>
  <c r="Q12"/>
  <c r="S11"/>
  <c r="Z11" s="1"/>
  <c r="AF11" s="1"/>
  <c r="Q11"/>
  <c r="S10"/>
  <c r="Z10" s="1"/>
  <c r="AF10" s="1"/>
  <c r="Q10"/>
  <c r="S9"/>
  <c r="U9" s="1"/>
  <c r="Q9"/>
  <c r="Z8"/>
  <c r="AF8" s="1"/>
  <c r="U8"/>
  <c r="S8"/>
  <c r="Q8"/>
  <c r="Z7"/>
  <c r="AF7" s="1"/>
  <c r="S7"/>
  <c r="U7" s="1"/>
  <c r="Q7"/>
  <c r="C29" i="887"/>
  <c r="S29" s="1"/>
  <c r="U29" s="1"/>
  <c r="C40"/>
  <c r="R14"/>
  <c r="S14"/>
  <c r="U14" s="1"/>
  <c r="R69"/>
  <c r="S69" s="1"/>
  <c r="U69" s="1"/>
  <c r="R71"/>
  <c r="R11"/>
  <c r="S11" s="1"/>
  <c r="D14"/>
  <c r="X145"/>
  <c r="AA118"/>
  <c r="Z118"/>
  <c r="W118"/>
  <c r="V118"/>
  <c r="X118" s="1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M77"/>
  <c r="F77"/>
  <c r="R76"/>
  <c r="R80" s="1"/>
  <c r="R75"/>
  <c r="T74"/>
  <c r="R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D73"/>
  <c r="E75" s="1"/>
  <c r="AG72"/>
  <c r="AH72" s="1"/>
  <c r="AF72"/>
  <c r="Z72"/>
  <c r="S71"/>
  <c r="U71" s="1"/>
  <c r="Q71"/>
  <c r="S70"/>
  <c r="Z70" s="1"/>
  <c r="AF70" s="1"/>
  <c r="Q70"/>
  <c r="Q69"/>
  <c r="S68"/>
  <c r="U68" s="1"/>
  <c r="Q68"/>
  <c r="S67"/>
  <c r="U67" s="1"/>
  <c r="Q67"/>
  <c r="Z66"/>
  <c r="AF66" s="1"/>
  <c r="AG66" s="1"/>
  <c r="AH66" s="1"/>
  <c r="U65"/>
  <c r="S65"/>
  <c r="Z65" s="1"/>
  <c r="AF65" s="1"/>
  <c r="Q65"/>
  <c r="S64"/>
  <c r="Z64" s="1"/>
  <c r="AF64" s="1"/>
  <c r="Q64"/>
  <c r="S63"/>
  <c r="U63" s="1"/>
  <c r="Q63"/>
  <c r="Z62"/>
  <c r="AF62" s="1"/>
  <c r="S62"/>
  <c r="U62" s="1"/>
  <c r="Q62"/>
  <c r="U61"/>
  <c r="S61"/>
  <c r="Z61" s="1"/>
  <c r="AF61" s="1"/>
  <c r="Q61"/>
  <c r="S60"/>
  <c r="Z60" s="1"/>
  <c r="AF60" s="1"/>
  <c r="Q60"/>
  <c r="S59"/>
  <c r="U59" s="1"/>
  <c r="Q59"/>
  <c r="AF58"/>
  <c r="AG58" s="1"/>
  <c r="AH58" s="1"/>
  <c r="Z58"/>
  <c r="U58"/>
  <c r="Q58"/>
  <c r="T57"/>
  <c r="Q57"/>
  <c r="S57"/>
  <c r="U56"/>
  <c r="S56"/>
  <c r="Z56" s="1"/>
  <c r="AF56" s="1"/>
  <c r="Q56"/>
  <c r="S55"/>
  <c r="Z55" s="1"/>
  <c r="AF55" s="1"/>
  <c r="Q55"/>
  <c r="S54"/>
  <c r="U54" s="1"/>
  <c r="Q54"/>
  <c r="Q53"/>
  <c r="S53"/>
  <c r="Z52"/>
  <c r="AF52" s="1"/>
  <c r="S52"/>
  <c r="U52" s="1"/>
  <c r="Q52"/>
  <c r="S51"/>
  <c r="Z51" s="1"/>
  <c r="AF51" s="1"/>
  <c r="Q51"/>
  <c r="T50"/>
  <c r="S50"/>
  <c r="Z50" s="1"/>
  <c r="AF50" s="1"/>
  <c r="Q50"/>
  <c r="S49"/>
  <c r="Z49" s="1"/>
  <c r="AF49" s="1"/>
  <c r="Q49"/>
  <c r="S48"/>
  <c r="U48" s="1"/>
  <c r="Q48"/>
  <c r="S47"/>
  <c r="U47" s="1"/>
  <c r="Q47"/>
  <c r="Z46"/>
  <c r="AF46" s="1"/>
  <c r="S46"/>
  <c r="U46" s="1"/>
  <c r="Q46"/>
  <c r="S45"/>
  <c r="Z45" s="1"/>
  <c r="AF45" s="1"/>
  <c r="Q45"/>
  <c r="S44"/>
  <c r="U44" s="1"/>
  <c r="Q44"/>
  <c r="AF43"/>
  <c r="AG43" s="1"/>
  <c r="AH43" s="1"/>
  <c r="Z43"/>
  <c r="S42"/>
  <c r="U42" s="1"/>
  <c r="Q42"/>
  <c r="S41"/>
  <c r="Z41" s="1"/>
  <c r="AF41" s="1"/>
  <c r="Q41"/>
  <c r="T40"/>
  <c r="T73" s="1"/>
  <c r="Q40"/>
  <c r="S39"/>
  <c r="Z39" s="1"/>
  <c r="AF39" s="1"/>
  <c r="Q39"/>
  <c r="S38"/>
  <c r="Z38" s="1"/>
  <c r="AF38" s="1"/>
  <c r="Q38"/>
  <c r="S37"/>
  <c r="Z37" s="1"/>
  <c r="AF37" s="1"/>
  <c r="Q37"/>
  <c r="S36"/>
  <c r="U36" s="1"/>
  <c r="Q36"/>
  <c r="S35"/>
  <c r="U35" s="1"/>
  <c r="Q35"/>
  <c r="S34"/>
  <c r="U34" s="1"/>
  <c r="Q34"/>
  <c r="Z33"/>
  <c r="AF33" s="1"/>
  <c r="S33"/>
  <c r="U33" s="1"/>
  <c r="Q33"/>
  <c r="S32"/>
  <c r="Z32" s="1"/>
  <c r="AF32" s="1"/>
  <c r="Q32"/>
  <c r="U31"/>
  <c r="S31"/>
  <c r="Z31" s="1"/>
  <c r="AF31" s="1"/>
  <c r="Q31"/>
  <c r="S30"/>
  <c r="U30" s="1"/>
  <c r="Q30"/>
  <c r="T29"/>
  <c r="Q29"/>
  <c r="T28"/>
  <c r="S28"/>
  <c r="U28" s="1"/>
  <c r="Q28"/>
  <c r="S27"/>
  <c r="U27" s="1"/>
  <c r="Q27"/>
  <c r="S26"/>
  <c r="U26" s="1"/>
  <c r="Q26"/>
  <c r="S25"/>
  <c r="U25" s="1"/>
  <c r="Q25"/>
  <c r="S24"/>
  <c r="Z24" s="1"/>
  <c r="AF24" s="1"/>
  <c r="Q24"/>
  <c r="S23"/>
  <c r="U23" s="1"/>
  <c r="Q23"/>
  <c r="Z22"/>
  <c r="AF22" s="1"/>
  <c r="S22"/>
  <c r="U22" s="1"/>
  <c r="Q22"/>
  <c r="S21"/>
  <c r="Z21" s="1"/>
  <c r="AF21" s="1"/>
  <c r="Q21"/>
  <c r="S20"/>
  <c r="Z20" s="1"/>
  <c r="AF20" s="1"/>
  <c r="Q20"/>
  <c r="S19"/>
  <c r="U19" s="1"/>
  <c r="Q19"/>
  <c r="AF18"/>
  <c r="AG18" s="1"/>
  <c r="AH18" s="1"/>
  <c r="Z18"/>
  <c r="S17"/>
  <c r="U17" s="1"/>
  <c r="Q17"/>
  <c r="S16"/>
  <c r="U16" s="1"/>
  <c r="Q16"/>
  <c r="S15"/>
  <c r="Z15" s="1"/>
  <c r="AF15" s="1"/>
  <c r="Q15"/>
  <c r="Q14"/>
  <c r="S13"/>
  <c r="U13" s="1"/>
  <c r="Q13"/>
  <c r="Q12"/>
  <c r="Q11"/>
  <c r="U10"/>
  <c r="S10"/>
  <c r="Z10" s="1"/>
  <c r="AF10" s="1"/>
  <c r="Q10"/>
  <c r="S9"/>
  <c r="Z9" s="1"/>
  <c r="AF9" s="1"/>
  <c r="Q9"/>
  <c r="S8"/>
  <c r="U8" s="1"/>
  <c r="Q8"/>
  <c r="S7"/>
  <c r="Z7" s="1"/>
  <c r="AF7" s="1"/>
  <c r="Q7"/>
  <c r="C53" i="886"/>
  <c r="C57"/>
  <c r="C32"/>
  <c r="C73" s="1"/>
  <c r="C36"/>
  <c r="C28"/>
  <c r="C38"/>
  <c r="S38" s="1"/>
  <c r="U38" s="1"/>
  <c r="C40"/>
  <c r="F77"/>
  <c r="R76"/>
  <c r="R75"/>
  <c r="T74" s="1"/>
  <c r="R74"/>
  <c r="R71"/>
  <c r="R69"/>
  <c r="S69" s="1"/>
  <c r="R12"/>
  <c r="S12" s="1"/>
  <c r="R14"/>
  <c r="D71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M77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Z72"/>
  <c r="AF72" s="1"/>
  <c r="AG72" s="1"/>
  <c r="AH72" s="1"/>
  <c r="Q71"/>
  <c r="S70"/>
  <c r="U70" s="1"/>
  <c r="Q70"/>
  <c r="Q69"/>
  <c r="S68"/>
  <c r="U68" s="1"/>
  <c r="Q68"/>
  <c r="S67"/>
  <c r="Z67" s="1"/>
  <c r="AF67" s="1"/>
  <c r="Q67"/>
  <c r="AG66"/>
  <c r="AH66" s="1"/>
  <c r="AF66"/>
  <c r="Z66"/>
  <c r="S65"/>
  <c r="U65" s="1"/>
  <c r="Q65"/>
  <c r="S64"/>
  <c r="U64" s="1"/>
  <c r="Q64"/>
  <c r="S63"/>
  <c r="U63" s="1"/>
  <c r="Q63"/>
  <c r="U62"/>
  <c r="AG62" s="1"/>
  <c r="AH62" s="1"/>
  <c r="S62"/>
  <c r="Z62" s="1"/>
  <c r="AF62" s="1"/>
  <c r="Q62"/>
  <c r="S61"/>
  <c r="U61" s="1"/>
  <c r="Q61"/>
  <c r="S60"/>
  <c r="U60" s="1"/>
  <c r="Q60"/>
  <c r="S59"/>
  <c r="U59" s="1"/>
  <c r="Q59"/>
  <c r="Z58"/>
  <c r="AF58" s="1"/>
  <c r="U58"/>
  <c r="Q58"/>
  <c r="T57"/>
  <c r="S57"/>
  <c r="Z57" s="1"/>
  <c r="AF57" s="1"/>
  <c r="Q57"/>
  <c r="Z56"/>
  <c r="AF56" s="1"/>
  <c r="S56"/>
  <c r="U56" s="1"/>
  <c r="Q56"/>
  <c r="S55"/>
  <c r="Z55" s="1"/>
  <c r="AF55" s="1"/>
  <c r="Q55"/>
  <c r="S54"/>
  <c r="Z54" s="1"/>
  <c r="AF54" s="1"/>
  <c r="Q54"/>
  <c r="S53"/>
  <c r="U53" s="1"/>
  <c r="Q53"/>
  <c r="S52"/>
  <c r="U52" s="1"/>
  <c r="Q52"/>
  <c r="S51"/>
  <c r="U51" s="1"/>
  <c r="Q51"/>
  <c r="T50"/>
  <c r="S50"/>
  <c r="Z50" s="1"/>
  <c r="AF50" s="1"/>
  <c r="Q50"/>
  <c r="S49"/>
  <c r="Z49" s="1"/>
  <c r="AF49" s="1"/>
  <c r="Q49"/>
  <c r="S48"/>
  <c r="U48" s="1"/>
  <c r="Q48"/>
  <c r="Z47"/>
  <c r="AF47" s="1"/>
  <c r="S47"/>
  <c r="U47" s="1"/>
  <c r="Q47"/>
  <c r="S46"/>
  <c r="Z46" s="1"/>
  <c r="AF46" s="1"/>
  <c r="Q46"/>
  <c r="S45"/>
  <c r="Z45" s="1"/>
  <c r="AF45" s="1"/>
  <c r="Q45"/>
  <c r="S44"/>
  <c r="U44" s="1"/>
  <c r="Q44"/>
  <c r="AF43"/>
  <c r="AG43" s="1"/>
  <c r="AH43" s="1"/>
  <c r="Z43"/>
  <c r="S42"/>
  <c r="U42" s="1"/>
  <c r="Q42"/>
  <c r="S41"/>
  <c r="U41" s="1"/>
  <c r="Q41"/>
  <c r="T40"/>
  <c r="S40"/>
  <c r="U40" s="1"/>
  <c r="Q40"/>
  <c r="S39"/>
  <c r="Z39" s="1"/>
  <c r="AF39" s="1"/>
  <c r="Q39"/>
  <c r="Q38"/>
  <c r="S37"/>
  <c r="U37" s="1"/>
  <c r="Q37"/>
  <c r="S36"/>
  <c r="Z36" s="1"/>
  <c r="AF36" s="1"/>
  <c r="Q36"/>
  <c r="S35"/>
  <c r="Z35" s="1"/>
  <c r="AF35" s="1"/>
  <c r="Q35"/>
  <c r="S34"/>
  <c r="U34" s="1"/>
  <c r="Q34"/>
  <c r="S33"/>
  <c r="U33" s="1"/>
  <c r="Q33"/>
  <c r="S32"/>
  <c r="U32" s="1"/>
  <c r="Q32"/>
  <c r="S31"/>
  <c r="Z31" s="1"/>
  <c r="AF31" s="1"/>
  <c r="Q31"/>
  <c r="S30"/>
  <c r="U30" s="1"/>
  <c r="Q30"/>
  <c r="T29"/>
  <c r="S29"/>
  <c r="U29" s="1"/>
  <c r="Q29"/>
  <c r="T28"/>
  <c r="T73" s="1"/>
  <c r="S28"/>
  <c r="Z28" s="1"/>
  <c r="AF28" s="1"/>
  <c r="Q28"/>
  <c r="S27"/>
  <c r="U27" s="1"/>
  <c r="Q27"/>
  <c r="Z26"/>
  <c r="AF26" s="1"/>
  <c r="S26"/>
  <c r="U26" s="1"/>
  <c r="Q26"/>
  <c r="U25"/>
  <c r="AG25" s="1"/>
  <c r="AH25" s="1"/>
  <c r="S25"/>
  <c r="Z25" s="1"/>
  <c r="AF25" s="1"/>
  <c r="Q25"/>
  <c r="S24"/>
  <c r="U24" s="1"/>
  <c r="Q24"/>
  <c r="S23"/>
  <c r="U23" s="1"/>
  <c r="Q23"/>
  <c r="S22"/>
  <c r="U22" s="1"/>
  <c r="Q22"/>
  <c r="S21"/>
  <c r="Z21" s="1"/>
  <c r="AF21" s="1"/>
  <c r="Q21"/>
  <c r="S20"/>
  <c r="U20" s="1"/>
  <c r="Q20"/>
  <c r="S19"/>
  <c r="U19" s="1"/>
  <c r="Q19"/>
  <c r="Z18"/>
  <c r="AF18" s="1"/>
  <c r="AG18" s="1"/>
  <c r="AH18" s="1"/>
  <c r="S17"/>
  <c r="Z17" s="1"/>
  <c r="AF17" s="1"/>
  <c r="Q17"/>
  <c r="S16"/>
  <c r="Z16" s="1"/>
  <c r="AF16" s="1"/>
  <c r="Q16"/>
  <c r="S15"/>
  <c r="U15" s="1"/>
  <c r="Q15"/>
  <c r="S14"/>
  <c r="Q14"/>
  <c r="D73"/>
  <c r="E75" s="1"/>
  <c r="S13"/>
  <c r="U13" s="1"/>
  <c r="Q13"/>
  <c r="Q12"/>
  <c r="S11"/>
  <c r="Q11"/>
  <c r="S10"/>
  <c r="U10" s="1"/>
  <c r="Q10"/>
  <c r="Z9"/>
  <c r="AF9" s="1"/>
  <c r="S9"/>
  <c r="U9" s="1"/>
  <c r="Q9"/>
  <c r="S8"/>
  <c r="Z8" s="1"/>
  <c r="AF8" s="1"/>
  <c r="Q8"/>
  <c r="S7"/>
  <c r="Z7" s="1"/>
  <c r="Q7"/>
  <c r="R69" i="885"/>
  <c r="R71"/>
  <c r="R14"/>
  <c r="R7"/>
  <c r="S7" s="1"/>
  <c r="Z7" s="1"/>
  <c r="AF7" s="1"/>
  <c r="R8"/>
  <c r="R12"/>
  <c r="R11"/>
  <c r="S11" s="1"/>
  <c r="U11" s="1"/>
  <c r="D71"/>
  <c r="D14"/>
  <c r="X145"/>
  <c r="AA118"/>
  <c r="Z118"/>
  <c r="W118"/>
  <c r="V118"/>
  <c r="X118" s="1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M77"/>
  <c r="F77"/>
  <c r="R76"/>
  <c r="R80" s="1"/>
  <c r="R75"/>
  <c r="T74"/>
  <c r="R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AG72"/>
  <c r="AH72" s="1"/>
  <c r="AF72"/>
  <c r="Z72"/>
  <c r="Q71"/>
  <c r="G73"/>
  <c r="S70"/>
  <c r="U70" s="1"/>
  <c r="Q70"/>
  <c r="Q69"/>
  <c r="S68"/>
  <c r="U68" s="1"/>
  <c r="Q68"/>
  <c r="U67"/>
  <c r="S67"/>
  <c r="Z67" s="1"/>
  <c r="AF67" s="1"/>
  <c r="Q67"/>
  <c r="Z66"/>
  <c r="AF66" s="1"/>
  <c r="AG66" s="1"/>
  <c r="AH66" s="1"/>
  <c r="U65"/>
  <c r="AG65" s="1"/>
  <c r="AH65" s="1"/>
  <c r="S65"/>
  <c r="Z65" s="1"/>
  <c r="AF65" s="1"/>
  <c r="Q65"/>
  <c r="S64"/>
  <c r="U64" s="1"/>
  <c r="Q64"/>
  <c r="S63"/>
  <c r="U63" s="1"/>
  <c r="Q63"/>
  <c r="S62"/>
  <c r="U62" s="1"/>
  <c r="Q62"/>
  <c r="S61"/>
  <c r="Z61" s="1"/>
  <c r="AF61" s="1"/>
  <c r="Q61"/>
  <c r="S60"/>
  <c r="U60" s="1"/>
  <c r="Q60"/>
  <c r="Z59"/>
  <c r="AF59" s="1"/>
  <c r="S59"/>
  <c r="U59" s="1"/>
  <c r="Q59"/>
  <c r="Z58"/>
  <c r="AF58" s="1"/>
  <c r="U58"/>
  <c r="AG58" s="1"/>
  <c r="AH58" s="1"/>
  <c r="Q58"/>
  <c r="T57"/>
  <c r="S57"/>
  <c r="U57" s="1"/>
  <c r="Q57"/>
  <c r="S56"/>
  <c r="U56" s="1"/>
  <c r="Q56"/>
  <c r="S55"/>
  <c r="U55" s="1"/>
  <c r="Q55"/>
  <c r="U54"/>
  <c r="S54"/>
  <c r="Z54" s="1"/>
  <c r="AF54" s="1"/>
  <c r="Q54"/>
  <c r="S53"/>
  <c r="Z53" s="1"/>
  <c r="AF53" s="1"/>
  <c r="Q53"/>
  <c r="S52"/>
  <c r="U52" s="1"/>
  <c r="Q52"/>
  <c r="Z51"/>
  <c r="AF51" s="1"/>
  <c r="S51"/>
  <c r="U51" s="1"/>
  <c r="Q51"/>
  <c r="U50"/>
  <c r="T50"/>
  <c r="S50"/>
  <c r="Z50" s="1"/>
  <c r="AF50" s="1"/>
  <c r="Q50"/>
  <c r="Z49"/>
  <c r="AF49" s="1"/>
  <c r="S49"/>
  <c r="U49" s="1"/>
  <c r="Q49"/>
  <c r="S48"/>
  <c r="Z48" s="1"/>
  <c r="AF48" s="1"/>
  <c r="Q48"/>
  <c r="S47"/>
  <c r="U47" s="1"/>
  <c r="Q47"/>
  <c r="S46"/>
  <c r="U46" s="1"/>
  <c r="Q46"/>
  <c r="S45"/>
  <c r="U45" s="1"/>
  <c r="Q45"/>
  <c r="S44"/>
  <c r="Z44" s="1"/>
  <c r="AF44" s="1"/>
  <c r="Q44"/>
  <c r="AG43"/>
  <c r="AH43" s="1"/>
  <c r="AF43"/>
  <c r="Z43"/>
  <c r="S42"/>
  <c r="U42" s="1"/>
  <c r="Q42"/>
  <c r="S41"/>
  <c r="U41" s="1"/>
  <c r="Q41"/>
  <c r="T40"/>
  <c r="S40"/>
  <c r="U40" s="1"/>
  <c r="Q40"/>
  <c r="S39"/>
  <c r="Z39" s="1"/>
  <c r="AF39" s="1"/>
  <c r="Q39"/>
  <c r="S38"/>
  <c r="Z38" s="1"/>
  <c r="AF38" s="1"/>
  <c r="Q38"/>
  <c r="S37"/>
  <c r="U37" s="1"/>
  <c r="Q37"/>
  <c r="S36"/>
  <c r="U36" s="1"/>
  <c r="Q36"/>
  <c r="S35"/>
  <c r="Z35" s="1"/>
  <c r="AF35" s="1"/>
  <c r="Q35"/>
  <c r="S34"/>
  <c r="Z34" s="1"/>
  <c r="AF34" s="1"/>
  <c r="Q34"/>
  <c r="S33"/>
  <c r="U33" s="1"/>
  <c r="Q33"/>
  <c r="S32"/>
  <c r="U32" s="1"/>
  <c r="Q32"/>
  <c r="Z31"/>
  <c r="AF31" s="1"/>
  <c r="S31"/>
  <c r="U31" s="1"/>
  <c r="Q31"/>
  <c r="U30"/>
  <c r="AG30" s="1"/>
  <c r="AH30" s="1"/>
  <c r="S30"/>
  <c r="Z30" s="1"/>
  <c r="AF30" s="1"/>
  <c r="Q30"/>
  <c r="T29"/>
  <c r="S29"/>
  <c r="U29" s="1"/>
  <c r="Q29"/>
  <c r="T28"/>
  <c r="T73" s="1"/>
  <c r="S28"/>
  <c r="U28" s="1"/>
  <c r="Q28"/>
  <c r="S27"/>
  <c r="U27" s="1"/>
  <c r="Q27"/>
  <c r="AF26"/>
  <c r="Z26"/>
  <c r="S26"/>
  <c r="U26" s="1"/>
  <c r="Q26"/>
  <c r="Z25"/>
  <c r="AF25" s="1"/>
  <c r="U25"/>
  <c r="S25"/>
  <c r="Q25"/>
  <c r="U24"/>
  <c r="AG24" s="1"/>
  <c r="AH24" s="1"/>
  <c r="S24"/>
  <c r="Z24" s="1"/>
  <c r="AF24" s="1"/>
  <c r="Q24"/>
  <c r="S23"/>
  <c r="U23" s="1"/>
  <c r="Q23"/>
  <c r="AF22"/>
  <c r="Z22"/>
  <c r="S22"/>
  <c r="U22" s="1"/>
  <c r="Q22"/>
  <c r="Q21"/>
  <c r="C73"/>
  <c r="S20"/>
  <c r="Z20" s="1"/>
  <c r="AF20" s="1"/>
  <c r="Q20"/>
  <c r="S19"/>
  <c r="Z19" s="1"/>
  <c r="AF19" s="1"/>
  <c r="Q19"/>
  <c r="AG18"/>
  <c r="AH18" s="1"/>
  <c r="AF18"/>
  <c r="Z18"/>
  <c r="S17"/>
  <c r="U17" s="1"/>
  <c r="Q17"/>
  <c r="Z16"/>
  <c r="AF16" s="1"/>
  <c r="S16"/>
  <c r="U16" s="1"/>
  <c r="Q16"/>
  <c r="S15"/>
  <c r="Z15" s="1"/>
  <c r="AF15" s="1"/>
  <c r="Q15"/>
  <c r="Q14"/>
  <c r="S13"/>
  <c r="Z13" s="1"/>
  <c r="AF13" s="1"/>
  <c r="Q13"/>
  <c r="S12"/>
  <c r="U12" s="1"/>
  <c r="Q12"/>
  <c r="Q11"/>
  <c r="S10"/>
  <c r="Z10" s="1"/>
  <c r="AF10" s="1"/>
  <c r="Q10"/>
  <c r="U9"/>
  <c r="AG9" s="1"/>
  <c r="AH9" s="1"/>
  <c r="S9"/>
  <c r="Z9" s="1"/>
  <c r="AF9" s="1"/>
  <c r="Q9"/>
  <c r="S8"/>
  <c r="U8" s="1"/>
  <c r="Q8"/>
  <c r="Q7"/>
  <c r="R74" i="884"/>
  <c r="F77"/>
  <c r="R76"/>
  <c r="R69"/>
  <c r="C21"/>
  <c r="R14"/>
  <c r="R75"/>
  <c r="G71"/>
  <c r="X14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R80" s="1"/>
  <c r="M77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D73"/>
  <c r="E75" s="1"/>
  <c r="AG72"/>
  <c r="AH72" s="1"/>
  <c r="AF72"/>
  <c r="Z72"/>
  <c r="S71"/>
  <c r="U71" s="1"/>
  <c r="Q71"/>
  <c r="S70"/>
  <c r="U70" s="1"/>
  <c r="Q70"/>
  <c r="S69"/>
  <c r="Q69"/>
  <c r="S68"/>
  <c r="U68" s="1"/>
  <c r="Q68"/>
  <c r="S67"/>
  <c r="U67" s="1"/>
  <c r="Q67"/>
  <c r="Z66"/>
  <c r="AF66" s="1"/>
  <c r="AG66" s="1"/>
  <c r="AH66" s="1"/>
  <c r="S65"/>
  <c r="Z65" s="1"/>
  <c r="AF65" s="1"/>
  <c r="Q65"/>
  <c r="S64"/>
  <c r="U64" s="1"/>
  <c r="Q64"/>
  <c r="S63"/>
  <c r="U63" s="1"/>
  <c r="Q63"/>
  <c r="U62"/>
  <c r="S62"/>
  <c r="Z62" s="1"/>
  <c r="AF62" s="1"/>
  <c r="Q62"/>
  <c r="S61"/>
  <c r="Z61" s="1"/>
  <c r="AF61" s="1"/>
  <c r="Q61"/>
  <c r="S60"/>
  <c r="U60" s="1"/>
  <c r="Q60"/>
  <c r="AF59"/>
  <c r="Z59"/>
  <c r="S59"/>
  <c r="U59" s="1"/>
  <c r="Q59"/>
  <c r="Z58"/>
  <c r="AF58" s="1"/>
  <c r="U58"/>
  <c r="AG58" s="1"/>
  <c r="AH58" s="1"/>
  <c r="Q58"/>
  <c r="T57"/>
  <c r="S57"/>
  <c r="U57" s="1"/>
  <c r="Q57"/>
  <c r="S56"/>
  <c r="U56" s="1"/>
  <c r="Q56"/>
  <c r="AF55"/>
  <c r="Z55"/>
  <c r="S55"/>
  <c r="U55" s="1"/>
  <c r="Q55"/>
  <c r="Z54"/>
  <c r="AF54" s="1"/>
  <c r="U54"/>
  <c r="S54"/>
  <c r="Q54"/>
  <c r="U53"/>
  <c r="S53"/>
  <c r="Z53" s="1"/>
  <c r="AF53" s="1"/>
  <c r="Q53"/>
  <c r="S52"/>
  <c r="U52" s="1"/>
  <c r="Q52"/>
  <c r="S51"/>
  <c r="U51" s="1"/>
  <c r="Q51"/>
  <c r="T50"/>
  <c r="S50"/>
  <c r="Q50"/>
  <c r="S49"/>
  <c r="U49" s="1"/>
  <c r="Q49"/>
  <c r="U48"/>
  <c r="S48"/>
  <c r="Z48" s="1"/>
  <c r="AF48" s="1"/>
  <c r="Q48"/>
  <c r="S47"/>
  <c r="Z47" s="1"/>
  <c r="AF47" s="1"/>
  <c r="Q47"/>
  <c r="S46"/>
  <c r="U46" s="1"/>
  <c r="Q46"/>
  <c r="S45"/>
  <c r="U45" s="1"/>
  <c r="Q45"/>
  <c r="S44"/>
  <c r="U44" s="1"/>
  <c r="Q44"/>
  <c r="Z43"/>
  <c r="AF43" s="1"/>
  <c r="AG43" s="1"/>
  <c r="AH43" s="1"/>
  <c r="S42"/>
  <c r="Z42" s="1"/>
  <c r="AF42" s="1"/>
  <c r="Q42"/>
  <c r="S41"/>
  <c r="U41" s="1"/>
  <c r="Q41"/>
  <c r="T40"/>
  <c r="S40"/>
  <c r="Z40" s="1"/>
  <c r="AF40" s="1"/>
  <c r="Q40"/>
  <c r="S39"/>
  <c r="U39" s="1"/>
  <c r="Q39"/>
  <c r="S38"/>
  <c r="U38" s="1"/>
  <c r="Q38"/>
  <c r="S37"/>
  <c r="Z37" s="1"/>
  <c r="AF37" s="1"/>
  <c r="Q37"/>
  <c r="S36"/>
  <c r="U36" s="1"/>
  <c r="Q36"/>
  <c r="Z35"/>
  <c r="AF35" s="1"/>
  <c r="S35"/>
  <c r="U35" s="1"/>
  <c r="Q35"/>
  <c r="U34"/>
  <c r="S34"/>
  <c r="Z34" s="1"/>
  <c r="AF34" s="1"/>
  <c r="Q34"/>
  <c r="S33"/>
  <c r="Z33" s="1"/>
  <c r="AF33" s="1"/>
  <c r="Q33"/>
  <c r="S32"/>
  <c r="U32" s="1"/>
  <c r="Q32"/>
  <c r="Z31"/>
  <c r="AF31" s="1"/>
  <c r="S31"/>
  <c r="U31" s="1"/>
  <c r="Q31"/>
  <c r="S30"/>
  <c r="Z30" s="1"/>
  <c r="AF30" s="1"/>
  <c r="Q30"/>
  <c r="T29"/>
  <c r="S29"/>
  <c r="Z29" s="1"/>
  <c r="AF29" s="1"/>
  <c r="Q29"/>
  <c r="T28"/>
  <c r="T73" s="1"/>
  <c r="S28"/>
  <c r="U28" s="1"/>
  <c r="Q28"/>
  <c r="S27"/>
  <c r="Z27" s="1"/>
  <c r="AF27" s="1"/>
  <c r="Q27"/>
  <c r="S26"/>
  <c r="U26" s="1"/>
  <c r="Q26"/>
  <c r="S25"/>
  <c r="U25" s="1"/>
  <c r="Q25"/>
  <c r="S24"/>
  <c r="Z24" s="1"/>
  <c r="AF24" s="1"/>
  <c r="Q24"/>
  <c r="S23"/>
  <c r="Z23" s="1"/>
  <c r="AF23" s="1"/>
  <c r="Q23"/>
  <c r="S22"/>
  <c r="U22" s="1"/>
  <c r="Q22"/>
  <c r="S21"/>
  <c r="U21" s="1"/>
  <c r="Q21"/>
  <c r="S20"/>
  <c r="Z20" s="1"/>
  <c r="AF20" s="1"/>
  <c r="Q20"/>
  <c r="U19"/>
  <c r="S19"/>
  <c r="Z19" s="1"/>
  <c r="AF19" s="1"/>
  <c r="Q19"/>
  <c r="AG18"/>
  <c r="AH18" s="1"/>
  <c r="AF18"/>
  <c r="Z18"/>
  <c r="S17"/>
  <c r="U17" s="1"/>
  <c r="Q17"/>
  <c r="S16"/>
  <c r="U16" s="1"/>
  <c r="Q16"/>
  <c r="S15"/>
  <c r="U15" s="1"/>
  <c r="Q15"/>
  <c r="S14"/>
  <c r="Q14"/>
  <c r="S13"/>
  <c r="U13" s="1"/>
  <c r="Q13"/>
  <c r="S12"/>
  <c r="Q12"/>
  <c r="S11"/>
  <c r="Q11"/>
  <c r="C73"/>
  <c r="S10"/>
  <c r="U10" s="1"/>
  <c r="Q10"/>
  <c r="S9"/>
  <c r="U9" s="1"/>
  <c r="Q9"/>
  <c r="S8"/>
  <c r="Q8"/>
  <c r="R73"/>
  <c r="D76" s="1"/>
  <c r="Q7"/>
  <c r="C16" i="883"/>
  <c r="C73" s="1"/>
  <c r="C11"/>
  <c r="R76"/>
  <c r="R75"/>
  <c r="R74"/>
  <c r="T74"/>
  <c r="F77"/>
  <c r="R77"/>
  <c r="R50"/>
  <c r="R11"/>
  <c r="R17"/>
  <c r="S17" s="1"/>
  <c r="U17" s="1"/>
  <c r="R71"/>
  <c r="S71" s="1"/>
  <c r="U71" s="1"/>
  <c r="R69"/>
  <c r="R8"/>
  <c r="R7"/>
  <c r="R14"/>
  <c r="R12"/>
  <c r="D14"/>
  <c r="D73" s="1"/>
  <c r="E75" s="1"/>
  <c r="X14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M77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AG72"/>
  <c r="AH72" s="1"/>
  <c r="AF72"/>
  <c r="Z72"/>
  <c r="Q71"/>
  <c r="S70"/>
  <c r="U70" s="1"/>
  <c r="Q70"/>
  <c r="Q69"/>
  <c r="S69"/>
  <c r="S68"/>
  <c r="U68" s="1"/>
  <c r="Q68"/>
  <c r="U67"/>
  <c r="S67"/>
  <c r="Z67" s="1"/>
  <c r="AF67" s="1"/>
  <c r="Q67"/>
  <c r="Z66"/>
  <c r="AF66" s="1"/>
  <c r="AG66" s="1"/>
  <c r="AH66" s="1"/>
  <c r="S65"/>
  <c r="U65" s="1"/>
  <c r="Q65"/>
  <c r="S64"/>
  <c r="Z64" s="1"/>
  <c r="AF64" s="1"/>
  <c r="Q64"/>
  <c r="S63"/>
  <c r="U63" s="1"/>
  <c r="Q63"/>
  <c r="Z62"/>
  <c r="AF62" s="1"/>
  <c r="U62"/>
  <c r="S62"/>
  <c r="Q62"/>
  <c r="Z61"/>
  <c r="AF61" s="1"/>
  <c r="U61"/>
  <c r="S61"/>
  <c r="Q61"/>
  <c r="U60"/>
  <c r="AG60" s="1"/>
  <c r="AH60" s="1"/>
  <c r="S60"/>
  <c r="Z60" s="1"/>
  <c r="AF60" s="1"/>
  <c r="Q60"/>
  <c r="S59"/>
  <c r="U59" s="1"/>
  <c r="Q59"/>
  <c r="AF58"/>
  <c r="Z58"/>
  <c r="U58"/>
  <c r="AG58" s="1"/>
  <c r="AH58" s="1"/>
  <c r="Q58"/>
  <c r="U57"/>
  <c r="T57"/>
  <c r="S57"/>
  <c r="Z57" s="1"/>
  <c r="AF57" s="1"/>
  <c r="Q57"/>
  <c r="U56"/>
  <c r="AG56" s="1"/>
  <c r="AH56" s="1"/>
  <c r="S56"/>
  <c r="Z56" s="1"/>
  <c r="AF56" s="1"/>
  <c r="Q56"/>
  <c r="S55"/>
  <c r="U55" s="1"/>
  <c r="Q55"/>
  <c r="U54"/>
  <c r="S54"/>
  <c r="Z54" s="1"/>
  <c r="AF54" s="1"/>
  <c r="Q54"/>
  <c r="U53"/>
  <c r="S53"/>
  <c r="Z53" s="1"/>
  <c r="AF53" s="1"/>
  <c r="Q53"/>
  <c r="S52"/>
  <c r="Z52" s="1"/>
  <c r="AF52" s="1"/>
  <c r="Q52"/>
  <c r="S51"/>
  <c r="U51" s="1"/>
  <c r="Q51"/>
  <c r="T50"/>
  <c r="S50"/>
  <c r="Z50" s="1"/>
  <c r="AF50" s="1"/>
  <c r="Q50"/>
  <c r="S49"/>
  <c r="U49" s="1"/>
  <c r="Q49"/>
  <c r="U48"/>
  <c r="S48"/>
  <c r="Z48" s="1"/>
  <c r="AF48" s="1"/>
  <c r="Q48"/>
  <c r="S47"/>
  <c r="Z47" s="1"/>
  <c r="AF47" s="1"/>
  <c r="Q47"/>
  <c r="S46"/>
  <c r="U46" s="1"/>
  <c r="Q46"/>
  <c r="AF45"/>
  <c r="Z45"/>
  <c r="S45"/>
  <c r="U45" s="1"/>
  <c r="Q45"/>
  <c r="Z44"/>
  <c r="AF44" s="1"/>
  <c r="U44"/>
  <c r="S44"/>
  <c r="Q44"/>
  <c r="Z43"/>
  <c r="AF43" s="1"/>
  <c r="AG43" s="1"/>
  <c r="AH43" s="1"/>
  <c r="U42"/>
  <c r="AG42" s="1"/>
  <c r="AH42" s="1"/>
  <c r="S42"/>
  <c r="Z42" s="1"/>
  <c r="AF42" s="1"/>
  <c r="Q42"/>
  <c r="S41"/>
  <c r="U41" s="1"/>
  <c r="Q41"/>
  <c r="T40"/>
  <c r="S40"/>
  <c r="U40" s="1"/>
  <c r="Q40"/>
  <c r="S39"/>
  <c r="U39" s="1"/>
  <c r="Q39"/>
  <c r="S38"/>
  <c r="U38" s="1"/>
  <c r="Q38"/>
  <c r="U37"/>
  <c r="AG37" s="1"/>
  <c r="AH37" s="1"/>
  <c r="S37"/>
  <c r="Z37" s="1"/>
  <c r="AF37" s="1"/>
  <c r="Q37"/>
  <c r="S36"/>
  <c r="U36" s="1"/>
  <c r="Q36"/>
  <c r="S35"/>
  <c r="U35" s="1"/>
  <c r="Q35"/>
  <c r="S34"/>
  <c r="U34" s="1"/>
  <c r="Q34"/>
  <c r="S33"/>
  <c r="Z33" s="1"/>
  <c r="AF33" s="1"/>
  <c r="Q33"/>
  <c r="S32"/>
  <c r="U32" s="1"/>
  <c r="Q32"/>
  <c r="Z31"/>
  <c r="AF31" s="1"/>
  <c r="S31"/>
  <c r="U31" s="1"/>
  <c r="Q31"/>
  <c r="S30"/>
  <c r="Z30" s="1"/>
  <c r="AF30" s="1"/>
  <c r="Q30"/>
  <c r="T29"/>
  <c r="S29"/>
  <c r="Z29" s="1"/>
  <c r="AF29" s="1"/>
  <c r="Q29"/>
  <c r="T28"/>
  <c r="T73" s="1"/>
  <c r="S28"/>
  <c r="U28" s="1"/>
  <c r="Q28"/>
  <c r="S27"/>
  <c r="Z27" s="1"/>
  <c r="AF27" s="1"/>
  <c r="Q27"/>
  <c r="S26"/>
  <c r="U26" s="1"/>
  <c r="Q26"/>
  <c r="S25"/>
  <c r="U25" s="1"/>
  <c r="Q25"/>
  <c r="S24"/>
  <c r="U24" s="1"/>
  <c r="Q24"/>
  <c r="U23"/>
  <c r="S23"/>
  <c r="Z23" s="1"/>
  <c r="AF23" s="1"/>
  <c r="Q23"/>
  <c r="S22"/>
  <c r="U22" s="1"/>
  <c r="Q22"/>
  <c r="Z21"/>
  <c r="AF21" s="1"/>
  <c r="S21"/>
  <c r="U21" s="1"/>
  <c r="Q21"/>
  <c r="U20"/>
  <c r="S20"/>
  <c r="Z20" s="1"/>
  <c r="AF20" s="1"/>
  <c r="Q20"/>
  <c r="S19"/>
  <c r="Z19" s="1"/>
  <c r="AF19" s="1"/>
  <c r="Q19"/>
  <c r="AG18"/>
  <c r="AH18" s="1"/>
  <c r="AF18"/>
  <c r="Z18"/>
  <c r="Q17"/>
  <c r="Q16"/>
  <c r="U15"/>
  <c r="S15"/>
  <c r="Z15" s="1"/>
  <c r="AF15" s="1"/>
  <c r="Q15"/>
  <c r="Q14"/>
  <c r="S13"/>
  <c r="U13" s="1"/>
  <c r="Q13"/>
  <c r="S12"/>
  <c r="Z12" s="1"/>
  <c r="AF12" s="1"/>
  <c r="Q12"/>
  <c r="S11"/>
  <c r="U11" s="1"/>
  <c r="Q11"/>
  <c r="S10"/>
  <c r="Z10" s="1"/>
  <c r="AF10" s="1"/>
  <c r="Q10"/>
  <c r="S9"/>
  <c r="U9" s="1"/>
  <c r="Q9"/>
  <c r="S8"/>
  <c r="Q8"/>
  <c r="Q7"/>
  <c r="R69" i="882"/>
  <c r="R14"/>
  <c r="R7"/>
  <c r="R8"/>
  <c r="R71"/>
  <c r="R11"/>
  <c r="D11"/>
  <c r="D69"/>
  <c r="D14"/>
  <c r="AH7" i="896" l="1"/>
  <c r="AH73" s="1"/>
  <c r="AG73"/>
  <c r="AH7" i="895"/>
  <c r="Z14"/>
  <c r="U14"/>
  <c r="U14" i="894"/>
  <c r="AG14" s="1"/>
  <c r="AH14" s="1"/>
  <c r="AG70"/>
  <c r="AH70" s="1"/>
  <c r="AG69"/>
  <c r="AH69" s="1"/>
  <c r="U11"/>
  <c r="Z11"/>
  <c r="AG7"/>
  <c r="S73"/>
  <c r="U14" i="893"/>
  <c r="AG14" s="1"/>
  <c r="AH14" s="1"/>
  <c r="S73"/>
  <c r="AG70"/>
  <c r="AH70" s="1"/>
  <c r="AG71"/>
  <c r="AH71" s="1"/>
  <c r="Z73"/>
  <c r="AF73"/>
  <c r="AG17"/>
  <c r="AH17" s="1"/>
  <c r="AG7"/>
  <c r="U73"/>
  <c r="U73" i="892"/>
  <c r="Z73"/>
  <c r="AF7"/>
  <c r="AG29"/>
  <c r="AH29" s="1"/>
  <c r="AG28"/>
  <c r="AH28" s="1"/>
  <c r="AG32"/>
  <c r="AH32" s="1"/>
  <c r="AG38"/>
  <c r="AH38" s="1"/>
  <c r="AG12"/>
  <c r="AH12" s="1"/>
  <c r="Z32" i="891"/>
  <c r="AF32" s="1"/>
  <c r="AG32" s="1"/>
  <c r="AH32" s="1"/>
  <c r="S73"/>
  <c r="Z71"/>
  <c r="AF71" s="1"/>
  <c r="AG71" s="1"/>
  <c r="AH71" s="1"/>
  <c r="AF7"/>
  <c r="Z11"/>
  <c r="AF11" s="1"/>
  <c r="U11"/>
  <c r="AG38" i="890"/>
  <c r="AH38" s="1"/>
  <c r="AG69"/>
  <c r="AH69" s="1"/>
  <c r="AG71"/>
  <c r="AH71" s="1"/>
  <c r="AG14"/>
  <c r="AH14" s="1"/>
  <c r="U8"/>
  <c r="Z8"/>
  <c r="S73"/>
  <c r="AH7"/>
  <c r="X118" i="889"/>
  <c r="U53"/>
  <c r="AG53" s="1"/>
  <c r="AH53" s="1"/>
  <c r="U8"/>
  <c r="AG8" s="1"/>
  <c r="AH8" s="1"/>
  <c r="U24"/>
  <c r="AG24" s="1"/>
  <c r="AH24" s="1"/>
  <c r="U34"/>
  <c r="AG34" s="1"/>
  <c r="AH34" s="1"/>
  <c r="U39"/>
  <c r="U41"/>
  <c r="AG41" s="1"/>
  <c r="AH41" s="1"/>
  <c r="U44"/>
  <c r="AG44" s="1"/>
  <c r="AH44" s="1"/>
  <c r="U49"/>
  <c r="U51"/>
  <c r="U54"/>
  <c r="AG54" s="1"/>
  <c r="AH54" s="1"/>
  <c r="U55"/>
  <c r="AG55" s="1"/>
  <c r="AH55" s="1"/>
  <c r="U59"/>
  <c r="U40"/>
  <c r="AG40" s="1"/>
  <c r="AH40" s="1"/>
  <c r="U50"/>
  <c r="Q73"/>
  <c r="E74" s="1"/>
  <c r="U15"/>
  <c r="U16"/>
  <c r="AG16" s="1"/>
  <c r="AH16" s="1"/>
  <c r="U31"/>
  <c r="AG31" s="1"/>
  <c r="AH31" s="1"/>
  <c r="U32"/>
  <c r="AG32" s="1"/>
  <c r="AH32" s="1"/>
  <c r="U67"/>
  <c r="U68"/>
  <c r="AG51"/>
  <c r="AH51" s="1"/>
  <c r="AG9"/>
  <c r="AH9" s="1"/>
  <c r="AG26"/>
  <c r="AH26" s="1"/>
  <c r="AG39"/>
  <c r="AH39" s="1"/>
  <c r="AG49"/>
  <c r="AH49" s="1"/>
  <c r="AG59"/>
  <c r="AH59" s="1"/>
  <c r="U20"/>
  <c r="AG20" s="1"/>
  <c r="AH20" s="1"/>
  <c r="Z21"/>
  <c r="AF21" s="1"/>
  <c r="Z22"/>
  <c r="AF22" s="1"/>
  <c r="AG22" s="1"/>
  <c r="AH22" s="1"/>
  <c r="Z35"/>
  <c r="AF35" s="1"/>
  <c r="Z36"/>
  <c r="AF36" s="1"/>
  <c r="AG36" s="1"/>
  <c r="AH36" s="1"/>
  <c r="Z45"/>
  <c r="AF45" s="1"/>
  <c r="AG45" s="1"/>
  <c r="AH45" s="1"/>
  <c r="Z46"/>
  <c r="AF46" s="1"/>
  <c r="AG46" s="1"/>
  <c r="AH46" s="1"/>
  <c r="U61"/>
  <c r="AG61" s="1"/>
  <c r="AH61" s="1"/>
  <c r="Z62"/>
  <c r="AF62" s="1"/>
  <c r="AG62" s="1"/>
  <c r="AH62" s="1"/>
  <c r="Z63"/>
  <c r="AF63" s="1"/>
  <c r="AG63" s="1"/>
  <c r="AH63" s="1"/>
  <c r="S73"/>
  <c r="AG15"/>
  <c r="AH15" s="1"/>
  <c r="AG25"/>
  <c r="AH25" s="1"/>
  <c r="AG67"/>
  <c r="AH67" s="1"/>
  <c r="AG68"/>
  <c r="AH68" s="1"/>
  <c r="U12"/>
  <c r="AG12" s="1"/>
  <c r="AH12" s="1"/>
  <c r="U69"/>
  <c r="Z69"/>
  <c r="AF69" s="1"/>
  <c r="AG13"/>
  <c r="AH13" s="1"/>
  <c r="AG30"/>
  <c r="AH30" s="1"/>
  <c r="AG38"/>
  <c r="AH38" s="1"/>
  <c r="AG48"/>
  <c r="AH48" s="1"/>
  <c r="AG50"/>
  <c r="AH50" s="1"/>
  <c r="AG65"/>
  <c r="AH65" s="1"/>
  <c r="U17"/>
  <c r="Z17"/>
  <c r="AF17" s="1"/>
  <c r="U14"/>
  <c r="Z14"/>
  <c r="AF14" s="1"/>
  <c r="U71"/>
  <c r="Z71"/>
  <c r="AF71" s="1"/>
  <c r="AG21"/>
  <c r="AH21" s="1"/>
  <c r="AG35"/>
  <c r="AH35" s="1"/>
  <c r="D73"/>
  <c r="E75" s="1"/>
  <c r="Z7"/>
  <c r="U10"/>
  <c r="AG10" s="1"/>
  <c r="AH10" s="1"/>
  <c r="U11"/>
  <c r="AG11" s="1"/>
  <c r="AH11" s="1"/>
  <c r="U19"/>
  <c r="AG19" s="1"/>
  <c r="AH19" s="1"/>
  <c r="U23"/>
  <c r="AG23" s="1"/>
  <c r="AH23" s="1"/>
  <c r="U27"/>
  <c r="AG27" s="1"/>
  <c r="AH27" s="1"/>
  <c r="U28"/>
  <c r="AG28" s="1"/>
  <c r="AH28" s="1"/>
  <c r="U29"/>
  <c r="AG29" s="1"/>
  <c r="AH29" s="1"/>
  <c r="U33"/>
  <c r="AG33" s="1"/>
  <c r="AH33" s="1"/>
  <c r="U37"/>
  <c r="AG37" s="1"/>
  <c r="AH37" s="1"/>
  <c r="U42"/>
  <c r="AG42" s="1"/>
  <c r="AH42" s="1"/>
  <c r="U47"/>
  <c r="AG47" s="1"/>
  <c r="AH47" s="1"/>
  <c r="U52"/>
  <c r="AG52" s="1"/>
  <c r="AH52" s="1"/>
  <c r="U56"/>
  <c r="AG56" s="1"/>
  <c r="AH56" s="1"/>
  <c r="U57"/>
  <c r="AG57" s="1"/>
  <c r="AH57" s="1"/>
  <c r="U60"/>
  <c r="AG60" s="1"/>
  <c r="AH60" s="1"/>
  <c r="U64"/>
  <c r="AG64" s="1"/>
  <c r="AH64" s="1"/>
  <c r="U70"/>
  <c r="AG70" s="1"/>
  <c r="AH70" s="1"/>
  <c r="X118" i="888"/>
  <c r="R73"/>
  <c r="D76" s="1"/>
  <c r="S14"/>
  <c r="U14" s="1"/>
  <c r="U19"/>
  <c r="U45"/>
  <c r="AG45" s="1"/>
  <c r="AH45" s="1"/>
  <c r="U48"/>
  <c r="AG48" s="1"/>
  <c r="AH48" s="1"/>
  <c r="Z50"/>
  <c r="AF50" s="1"/>
  <c r="Z51"/>
  <c r="AF51" s="1"/>
  <c r="U63"/>
  <c r="U20"/>
  <c r="AG20" s="1"/>
  <c r="AH20" s="1"/>
  <c r="Z27"/>
  <c r="AF27" s="1"/>
  <c r="U28"/>
  <c r="U37"/>
  <c r="AG37" s="1"/>
  <c r="AH37" s="1"/>
  <c r="U46"/>
  <c r="AG46" s="1"/>
  <c r="AH46" s="1"/>
  <c r="Z49"/>
  <c r="AF49" s="1"/>
  <c r="U59"/>
  <c r="Z67"/>
  <c r="AF67" s="1"/>
  <c r="AG67" s="1"/>
  <c r="AH67" s="1"/>
  <c r="U22"/>
  <c r="AG22" s="1"/>
  <c r="AH22" s="1"/>
  <c r="Z30"/>
  <c r="AF30" s="1"/>
  <c r="Z31"/>
  <c r="AF31" s="1"/>
  <c r="Z41"/>
  <c r="AF41" s="1"/>
  <c r="AG41" s="1"/>
  <c r="AH41" s="1"/>
  <c r="AG68"/>
  <c r="AH68" s="1"/>
  <c r="Q73"/>
  <c r="E74" s="1"/>
  <c r="U17"/>
  <c r="AG17" s="1"/>
  <c r="AH17" s="1"/>
  <c r="U53"/>
  <c r="AG53" s="1"/>
  <c r="AH53" s="1"/>
  <c r="U62"/>
  <c r="AG62" s="1"/>
  <c r="AH62" s="1"/>
  <c r="U65"/>
  <c r="AG65" s="1"/>
  <c r="AH65" s="1"/>
  <c r="AG63"/>
  <c r="AH63" s="1"/>
  <c r="AG8"/>
  <c r="AH8" s="1"/>
  <c r="AG39"/>
  <c r="AH39" s="1"/>
  <c r="U10"/>
  <c r="AG10" s="1"/>
  <c r="AH10" s="1"/>
  <c r="U11"/>
  <c r="AG11" s="1"/>
  <c r="AH11" s="1"/>
  <c r="Z12"/>
  <c r="AF12" s="1"/>
  <c r="AG12" s="1"/>
  <c r="AH12" s="1"/>
  <c r="Z13"/>
  <c r="AF13" s="1"/>
  <c r="AG13" s="1"/>
  <c r="AH13" s="1"/>
  <c r="Z15"/>
  <c r="AF15" s="1"/>
  <c r="AG15" s="1"/>
  <c r="AH15" s="1"/>
  <c r="Z23"/>
  <c r="AF23" s="1"/>
  <c r="AG23" s="1"/>
  <c r="AH23" s="1"/>
  <c r="Z24"/>
  <c r="AF24" s="1"/>
  <c r="AG24" s="1"/>
  <c r="AH24" s="1"/>
  <c r="U33"/>
  <c r="AG33" s="1"/>
  <c r="AH33" s="1"/>
  <c r="Z34"/>
  <c r="AF34" s="1"/>
  <c r="AG34" s="1"/>
  <c r="AH34" s="1"/>
  <c r="Z35"/>
  <c r="AF35" s="1"/>
  <c r="AG35" s="1"/>
  <c r="AH35" s="1"/>
  <c r="Z54"/>
  <c r="AF54" s="1"/>
  <c r="AG54" s="1"/>
  <c r="AH54" s="1"/>
  <c r="Z55"/>
  <c r="AF55" s="1"/>
  <c r="AG55" s="1"/>
  <c r="AH55" s="1"/>
  <c r="AG59"/>
  <c r="AH59" s="1"/>
  <c r="AG28"/>
  <c r="AH28" s="1"/>
  <c r="AG31"/>
  <c r="AH31" s="1"/>
  <c r="AG51"/>
  <c r="AH51" s="1"/>
  <c r="U44"/>
  <c r="AG44" s="1"/>
  <c r="AH44" s="1"/>
  <c r="U61"/>
  <c r="U40"/>
  <c r="AG40" s="1"/>
  <c r="AH40" s="1"/>
  <c r="Z40"/>
  <c r="AF40" s="1"/>
  <c r="U69"/>
  <c r="Z69"/>
  <c r="AF69" s="1"/>
  <c r="AG19"/>
  <c r="AH19" s="1"/>
  <c r="AG30"/>
  <c r="AH30" s="1"/>
  <c r="AG50"/>
  <c r="AH50" s="1"/>
  <c r="AG49"/>
  <c r="AH49" s="1"/>
  <c r="AG58"/>
  <c r="AH58" s="1"/>
  <c r="AG7"/>
  <c r="AG27"/>
  <c r="AH27" s="1"/>
  <c r="AG38"/>
  <c r="AH38" s="1"/>
  <c r="AG61"/>
  <c r="AH61" s="1"/>
  <c r="D73"/>
  <c r="E75" s="1"/>
  <c r="Z9"/>
  <c r="AF9" s="1"/>
  <c r="AG9" s="1"/>
  <c r="AH9" s="1"/>
  <c r="Z16"/>
  <c r="AF16" s="1"/>
  <c r="AG16" s="1"/>
  <c r="AH16" s="1"/>
  <c r="Z21"/>
  <c r="AF21" s="1"/>
  <c r="AG21" s="1"/>
  <c r="AH21" s="1"/>
  <c r="Z25"/>
  <c r="AF25" s="1"/>
  <c r="AG25" s="1"/>
  <c r="AH25" s="1"/>
  <c r="S29"/>
  <c r="Z32"/>
  <c r="AF32" s="1"/>
  <c r="AG32" s="1"/>
  <c r="AH32" s="1"/>
  <c r="Z36"/>
  <c r="AF36" s="1"/>
  <c r="AG36" s="1"/>
  <c r="AH36" s="1"/>
  <c r="Z42"/>
  <c r="AF42" s="1"/>
  <c r="AG42" s="1"/>
  <c r="AH42" s="1"/>
  <c r="Z47"/>
  <c r="AF47" s="1"/>
  <c r="AG47" s="1"/>
  <c r="AH47" s="1"/>
  <c r="Z52"/>
  <c r="AF52" s="1"/>
  <c r="AG52" s="1"/>
  <c r="AH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Z70"/>
  <c r="AF70" s="1"/>
  <c r="AG70" s="1"/>
  <c r="AH70" s="1"/>
  <c r="Z71"/>
  <c r="AF71" s="1"/>
  <c r="AG71" s="1"/>
  <c r="AH71" s="1"/>
  <c r="C73" i="887"/>
  <c r="S40"/>
  <c r="U40" s="1"/>
  <c r="U11"/>
  <c r="AG11" s="1"/>
  <c r="AH11" s="1"/>
  <c r="Z11"/>
  <c r="AF11" s="1"/>
  <c r="R73"/>
  <c r="D76" s="1"/>
  <c r="U9"/>
  <c r="AG9" s="1"/>
  <c r="AH9" s="1"/>
  <c r="U41"/>
  <c r="Z42"/>
  <c r="AF42" s="1"/>
  <c r="U45"/>
  <c r="AG45" s="1"/>
  <c r="AH45" s="1"/>
  <c r="U55"/>
  <c r="AG55" s="1"/>
  <c r="AH55" s="1"/>
  <c r="U60"/>
  <c r="AG60" s="1"/>
  <c r="AH60" s="1"/>
  <c r="Q73"/>
  <c r="E74" s="1"/>
  <c r="U21"/>
  <c r="AG21" s="1"/>
  <c r="AH21" s="1"/>
  <c r="U32"/>
  <c r="AG32" s="1"/>
  <c r="AH32" s="1"/>
  <c r="U39"/>
  <c r="AG39" s="1"/>
  <c r="AH39" s="1"/>
  <c r="U49"/>
  <c r="AG49" s="1"/>
  <c r="AH49" s="1"/>
  <c r="U50"/>
  <c r="AG50" s="1"/>
  <c r="AH50" s="1"/>
  <c r="U51"/>
  <c r="AG51" s="1"/>
  <c r="AH51" s="1"/>
  <c r="AG33"/>
  <c r="AH33" s="1"/>
  <c r="AG22"/>
  <c r="AH22" s="1"/>
  <c r="AG52"/>
  <c r="AH52" s="1"/>
  <c r="U15"/>
  <c r="AG15" s="1"/>
  <c r="AH15" s="1"/>
  <c r="Z16"/>
  <c r="AF16" s="1"/>
  <c r="AG16" s="1"/>
  <c r="AH16" s="1"/>
  <c r="U24"/>
  <c r="AG24" s="1"/>
  <c r="AH24" s="1"/>
  <c r="Z25"/>
  <c r="AF25" s="1"/>
  <c r="AG25" s="1"/>
  <c r="AH25" s="1"/>
  <c r="Z34"/>
  <c r="AF34" s="1"/>
  <c r="U37"/>
  <c r="AG37" s="1"/>
  <c r="AH37" s="1"/>
  <c r="AG42"/>
  <c r="AH42" s="1"/>
  <c r="Z47"/>
  <c r="AF47" s="1"/>
  <c r="AG62"/>
  <c r="AH62" s="1"/>
  <c r="U70"/>
  <c r="AG70" s="1"/>
  <c r="AH70" s="1"/>
  <c r="AG26"/>
  <c r="AH26" s="1"/>
  <c r="AG65"/>
  <c r="AH65" s="1"/>
  <c r="AG10"/>
  <c r="AH10" s="1"/>
  <c r="Z17"/>
  <c r="AF17" s="1"/>
  <c r="AG17" s="1"/>
  <c r="AH17" s="1"/>
  <c r="U20"/>
  <c r="AG20" s="1"/>
  <c r="AH20" s="1"/>
  <c r="Z26"/>
  <c r="AF26" s="1"/>
  <c r="AG34"/>
  <c r="AH34" s="1"/>
  <c r="U38"/>
  <c r="AG38" s="1"/>
  <c r="AH38" s="1"/>
  <c r="AG47"/>
  <c r="AH47" s="1"/>
  <c r="U64"/>
  <c r="Z67"/>
  <c r="AF67" s="1"/>
  <c r="AG67" s="1"/>
  <c r="AH67" s="1"/>
  <c r="Z53"/>
  <c r="AF53" s="1"/>
  <c r="U53"/>
  <c r="AG53" s="1"/>
  <c r="AH53" s="1"/>
  <c r="AG41"/>
  <c r="AH41" s="1"/>
  <c r="AG56"/>
  <c r="AH56" s="1"/>
  <c r="AG61"/>
  <c r="AH61" s="1"/>
  <c r="AG46"/>
  <c r="AH46" s="1"/>
  <c r="Z57"/>
  <c r="AF57" s="1"/>
  <c r="U57"/>
  <c r="AG31"/>
  <c r="AH31" s="1"/>
  <c r="AG64"/>
  <c r="AH64" s="1"/>
  <c r="Z28"/>
  <c r="AF28" s="1"/>
  <c r="AG28" s="1"/>
  <c r="AH28" s="1"/>
  <c r="Z29"/>
  <c r="AF29" s="1"/>
  <c r="AG29" s="1"/>
  <c r="AH29" s="1"/>
  <c r="U7"/>
  <c r="Z8"/>
  <c r="AF8" s="1"/>
  <c r="AG8" s="1"/>
  <c r="AH8" s="1"/>
  <c r="Z13"/>
  <c r="AF13" s="1"/>
  <c r="AG13" s="1"/>
  <c r="AH13" s="1"/>
  <c r="Z14"/>
  <c r="AF14" s="1"/>
  <c r="AG14" s="1"/>
  <c r="AH14" s="1"/>
  <c r="Z19"/>
  <c r="AF19" s="1"/>
  <c r="AG19" s="1"/>
  <c r="AH19" s="1"/>
  <c r="Z23"/>
  <c r="AF23" s="1"/>
  <c r="AG23" s="1"/>
  <c r="AH23" s="1"/>
  <c r="Z27"/>
  <c r="AF27" s="1"/>
  <c r="AG27" s="1"/>
  <c r="AH27" s="1"/>
  <c r="Z30"/>
  <c r="AF30" s="1"/>
  <c r="AG30" s="1"/>
  <c r="AH30" s="1"/>
  <c r="Z35"/>
  <c r="AF35" s="1"/>
  <c r="AG35" s="1"/>
  <c r="AH35" s="1"/>
  <c r="Z36"/>
  <c r="AF36" s="1"/>
  <c r="AG36" s="1"/>
  <c r="AH36" s="1"/>
  <c r="Z44"/>
  <c r="AF44" s="1"/>
  <c r="AG44" s="1"/>
  <c r="AH44" s="1"/>
  <c r="Z48"/>
  <c r="AF48" s="1"/>
  <c r="AG48" s="1"/>
  <c r="AH48" s="1"/>
  <c r="Z54"/>
  <c r="AF54" s="1"/>
  <c r="AG54" s="1"/>
  <c r="AH54" s="1"/>
  <c r="Z59"/>
  <c r="AF59" s="1"/>
  <c r="AG59" s="1"/>
  <c r="AH59" s="1"/>
  <c r="Z63"/>
  <c r="AF63" s="1"/>
  <c r="AG63" s="1"/>
  <c r="AH63" s="1"/>
  <c r="Z68"/>
  <c r="AF68" s="1"/>
  <c r="AG68" s="1"/>
  <c r="AH68" s="1"/>
  <c r="Z69"/>
  <c r="AF69" s="1"/>
  <c r="AG69" s="1"/>
  <c r="AH69" s="1"/>
  <c r="Z71"/>
  <c r="AF71" s="1"/>
  <c r="AG71" s="1"/>
  <c r="AH71" s="1"/>
  <c r="S12"/>
  <c r="R77" i="886"/>
  <c r="R80" s="1"/>
  <c r="X118"/>
  <c r="S71"/>
  <c r="U71" s="1"/>
  <c r="U17"/>
  <c r="AG17" s="1"/>
  <c r="AH17" s="1"/>
  <c r="U21"/>
  <c r="AG21" s="1"/>
  <c r="AH21" s="1"/>
  <c r="Z27"/>
  <c r="AF27" s="1"/>
  <c r="U31"/>
  <c r="AG31" s="1"/>
  <c r="AH31" s="1"/>
  <c r="U36"/>
  <c r="AG36" s="1"/>
  <c r="AH36" s="1"/>
  <c r="Z63"/>
  <c r="AF63" s="1"/>
  <c r="Z68"/>
  <c r="AF68" s="1"/>
  <c r="Z32"/>
  <c r="AF32" s="1"/>
  <c r="Z37"/>
  <c r="AF37" s="1"/>
  <c r="U55"/>
  <c r="Q73"/>
  <c r="E74" s="1"/>
  <c r="Z51"/>
  <c r="AF51" s="1"/>
  <c r="AG51" s="1"/>
  <c r="AH51" s="1"/>
  <c r="U7"/>
  <c r="U8"/>
  <c r="AG8" s="1"/>
  <c r="AH8" s="1"/>
  <c r="Z22"/>
  <c r="AF22" s="1"/>
  <c r="U35"/>
  <c r="AG35" s="1"/>
  <c r="AH35" s="1"/>
  <c r="U46"/>
  <c r="AG46" s="1"/>
  <c r="AH46" s="1"/>
  <c r="U54"/>
  <c r="AG54" s="1"/>
  <c r="AH54" s="1"/>
  <c r="U67"/>
  <c r="AG67" s="1"/>
  <c r="AH67" s="1"/>
  <c r="Z70"/>
  <c r="AF70" s="1"/>
  <c r="AG70" s="1"/>
  <c r="AH70" s="1"/>
  <c r="AG19"/>
  <c r="AH19" s="1"/>
  <c r="AG60"/>
  <c r="AH60" s="1"/>
  <c r="AG47"/>
  <c r="AH47" s="1"/>
  <c r="Z10"/>
  <c r="AF10" s="1"/>
  <c r="AG10" s="1"/>
  <c r="AH10" s="1"/>
  <c r="Z23"/>
  <c r="AF23" s="1"/>
  <c r="AG27"/>
  <c r="AH27" s="1"/>
  <c r="Z33"/>
  <c r="AF33" s="1"/>
  <c r="AG33" s="1"/>
  <c r="AH33" s="1"/>
  <c r="AG37"/>
  <c r="AH37" s="1"/>
  <c r="Z40"/>
  <c r="AF40" s="1"/>
  <c r="Z41"/>
  <c r="AF41" s="1"/>
  <c r="AG41" s="1"/>
  <c r="AH41" s="1"/>
  <c r="U49"/>
  <c r="AG49" s="1"/>
  <c r="AH49" s="1"/>
  <c r="U50"/>
  <c r="AG50" s="1"/>
  <c r="AH50" s="1"/>
  <c r="Z52"/>
  <c r="AF52" s="1"/>
  <c r="AG56"/>
  <c r="AH56" s="1"/>
  <c r="Z59"/>
  <c r="AF59" s="1"/>
  <c r="Z64"/>
  <c r="AF64" s="1"/>
  <c r="AG64" s="1"/>
  <c r="AH64" s="1"/>
  <c r="U16"/>
  <c r="Z19"/>
  <c r="AF19" s="1"/>
  <c r="AG23"/>
  <c r="AH23" s="1"/>
  <c r="U39"/>
  <c r="AG39" s="1"/>
  <c r="AH39" s="1"/>
  <c r="Z42"/>
  <c r="AF42" s="1"/>
  <c r="AG42" s="1"/>
  <c r="AH42" s="1"/>
  <c r="U45"/>
  <c r="AG45" s="1"/>
  <c r="AH45" s="1"/>
  <c r="AG52"/>
  <c r="AH52" s="1"/>
  <c r="Z60"/>
  <c r="AF60" s="1"/>
  <c r="U14"/>
  <c r="Z14"/>
  <c r="AF14" s="1"/>
  <c r="U12"/>
  <c r="Z12"/>
  <c r="AF12" s="1"/>
  <c r="AF7"/>
  <c r="U11"/>
  <c r="Z11"/>
  <c r="AF11" s="1"/>
  <c r="U69"/>
  <c r="Z69"/>
  <c r="AF69" s="1"/>
  <c r="AG26"/>
  <c r="AH26" s="1"/>
  <c r="AG55"/>
  <c r="AH55" s="1"/>
  <c r="AG9"/>
  <c r="AH9" s="1"/>
  <c r="AG22"/>
  <c r="AH22" s="1"/>
  <c r="AG32"/>
  <c r="AH32" s="1"/>
  <c r="AG63"/>
  <c r="AH63" s="1"/>
  <c r="AG68"/>
  <c r="AH68" s="1"/>
  <c r="AG16"/>
  <c r="AH16" s="1"/>
  <c r="AG40"/>
  <c r="AH40" s="1"/>
  <c r="AG58"/>
  <c r="AH58" s="1"/>
  <c r="AG59"/>
  <c r="AH59" s="1"/>
  <c r="Z29"/>
  <c r="AF29" s="1"/>
  <c r="AG29" s="1"/>
  <c r="AH29" s="1"/>
  <c r="R73"/>
  <c r="D76" s="1"/>
  <c r="Z13"/>
  <c r="AF13" s="1"/>
  <c r="AG13" s="1"/>
  <c r="AH13" s="1"/>
  <c r="Z15"/>
  <c r="AF15" s="1"/>
  <c r="AG15" s="1"/>
  <c r="AH15" s="1"/>
  <c r="Z20"/>
  <c r="AF20" s="1"/>
  <c r="AG20" s="1"/>
  <c r="AH20" s="1"/>
  <c r="Z24"/>
  <c r="AF24" s="1"/>
  <c r="AG24" s="1"/>
  <c r="AH24" s="1"/>
  <c r="U28"/>
  <c r="AG28" s="1"/>
  <c r="AH28" s="1"/>
  <c r="Z30"/>
  <c r="AF30" s="1"/>
  <c r="AG30" s="1"/>
  <c r="AH30" s="1"/>
  <c r="Z34"/>
  <c r="AF34" s="1"/>
  <c r="AG34" s="1"/>
  <c r="AH34" s="1"/>
  <c r="Z38"/>
  <c r="AF38" s="1"/>
  <c r="AG38" s="1"/>
  <c r="AH38" s="1"/>
  <c r="Z44"/>
  <c r="AF44" s="1"/>
  <c r="AG44" s="1"/>
  <c r="AH44" s="1"/>
  <c r="Z48"/>
  <c r="AF48" s="1"/>
  <c r="AG48" s="1"/>
  <c r="AH48" s="1"/>
  <c r="Z53"/>
  <c r="AF53" s="1"/>
  <c r="AG53" s="1"/>
  <c r="AH53" s="1"/>
  <c r="U57"/>
  <c r="AG57" s="1"/>
  <c r="AH57" s="1"/>
  <c r="Z61"/>
  <c r="AF61" s="1"/>
  <c r="AG61" s="1"/>
  <c r="AH61" s="1"/>
  <c r="Z65"/>
  <c r="AF65" s="1"/>
  <c r="AG65" s="1"/>
  <c r="AH65" s="1"/>
  <c r="U35" i="885"/>
  <c r="S14"/>
  <c r="Z14" s="1"/>
  <c r="AF14" s="1"/>
  <c r="R73"/>
  <c r="D76" s="1"/>
  <c r="S71"/>
  <c r="U71" s="1"/>
  <c r="S69"/>
  <c r="Z69" s="1"/>
  <c r="AF69" s="1"/>
  <c r="Z36"/>
  <c r="AF36" s="1"/>
  <c r="AG36" s="1"/>
  <c r="AH36" s="1"/>
  <c r="D73"/>
  <c r="E75" s="1"/>
  <c r="U15"/>
  <c r="AG15" s="1"/>
  <c r="AH15" s="1"/>
  <c r="U39"/>
  <c r="AG39" s="1"/>
  <c r="AH39" s="1"/>
  <c r="Z55"/>
  <c r="AF55" s="1"/>
  <c r="U61"/>
  <c r="AG61" s="1"/>
  <c r="AH61" s="1"/>
  <c r="Z68"/>
  <c r="AF68" s="1"/>
  <c r="U10"/>
  <c r="AG10" s="1"/>
  <c r="AH10" s="1"/>
  <c r="Z11"/>
  <c r="AF11" s="1"/>
  <c r="AG11" s="1"/>
  <c r="AH11" s="1"/>
  <c r="U20"/>
  <c r="U34"/>
  <c r="AG34" s="1"/>
  <c r="AH34" s="1"/>
  <c r="U48"/>
  <c r="AG48" s="1"/>
  <c r="AH48" s="1"/>
  <c r="Q73"/>
  <c r="E74" s="1"/>
  <c r="AG54"/>
  <c r="AH54" s="1"/>
  <c r="Z32"/>
  <c r="AF32" s="1"/>
  <c r="AG32" s="1"/>
  <c r="AH32" s="1"/>
  <c r="Z40"/>
  <c r="AF40" s="1"/>
  <c r="AG40" s="1"/>
  <c r="AH40" s="1"/>
  <c r="U44"/>
  <c r="AG44" s="1"/>
  <c r="AH44" s="1"/>
  <c r="Z45"/>
  <c r="AF45" s="1"/>
  <c r="AG45" s="1"/>
  <c r="AH45" s="1"/>
  <c r="AG51"/>
  <c r="AH51" s="1"/>
  <c r="Z62"/>
  <c r="AF62" s="1"/>
  <c r="AG62" s="1"/>
  <c r="AH62" s="1"/>
  <c r="AG68"/>
  <c r="AH68" s="1"/>
  <c r="AG20"/>
  <c r="AH20" s="1"/>
  <c r="AG16"/>
  <c r="AH16" s="1"/>
  <c r="AG55"/>
  <c r="AH55" s="1"/>
  <c r="AG59"/>
  <c r="AH59" s="1"/>
  <c r="AG26"/>
  <c r="AH26" s="1"/>
  <c r="U13"/>
  <c r="AG13" s="1"/>
  <c r="AH13" s="1"/>
  <c r="U19"/>
  <c r="AG19" s="1"/>
  <c r="AH19" s="1"/>
  <c r="AG22"/>
  <c r="AH22" s="1"/>
  <c r="U38"/>
  <c r="AG38" s="1"/>
  <c r="AH38" s="1"/>
  <c r="Z41"/>
  <c r="AF41" s="1"/>
  <c r="AG41" s="1"/>
  <c r="AH41" s="1"/>
  <c r="Z46"/>
  <c r="AF46" s="1"/>
  <c r="AG46" s="1"/>
  <c r="AH46" s="1"/>
  <c r="U53"/>
  <c r="Z63"/>
  <c r="AF63" s="1"/>
  <c r="AG63" s="1"/>
  <c r="AH63" s="1"/>
  <c r="U69"/>
  <c r="AG25"/>
  <c r="AH25" s="1"/>
  <c r="AG35"/>
  <c r="AH35" s="1"/>
  <c r="AG50"/>
  <c r="AH50" s="1"/>
  <c r="AG67"/>
  <c r="AH67" s="1"/>
  <c r="AG31"/>
  <c r="AH31" s="1"/>
  <c r="AG49"/>
  <c r="AH49" s="1"/>
  <c r="AG52"/>
  <c r="AH52" s="1"/>
  <c r="AG23"/>
  <c r="AH23" s="1"/>
  <c r="AG53"/>
  <c r="AH53" s="1"/>
  <c r="U7"/>
  <c r="Z8"/>
  <c r="AF8" s="1"/>
  <c r="AG8" s="1"/>
  <c r="AH8" s="1"/>
  <c r="Z12"/>
  <c r="AF12" s="1"/>
  <c r="AG12" s="1"/>
  <c r="AH12" s="1"/>
  <c r="Z17"/>
  <c r="AF17" s="1"/>
  <c r="AG17" s="1"/>
  <c r="AH17" s="1"/>
  <c r="S21"/>
  <c r="Z23"/>
  <c r="AF23" s="1"/>
  <c r="Z27"/>
  <c r="AF27" s="1"/>
  <c r="AG27" s="1"/>
  <c r="AH27" s="1"/>
  <c r="Z28"/>
  <c r="AF28" s="1"/>
  <c r="AG28" s="1"/>
  <c r="AH28" s="1"/>
  <c r="Z29"/>
  <c r="AF29" s="1"/>
  <c r="AG29" s="1"/>
  <c r="AH29" s="1"/>
  <c r="Z33"/>
  <c r="AF33" s="1"/>
  <c r="AG33" s="1"/>
  <c r="AH33" s="1"/>
  <c r="Z37"/>
  <c r="AF37" s="1"/>
  <c r="AG37" s="1"/>
  <c r="AH37" s="1"/>
  <c r="Z42"/>
  <c r="AF42" s="1"/>
  <c r="AG42" s="1"/>
  <c r="AH42" s="1"/>
  <c r="Z47"/>
  <c r="AF47" s="1"/>
  <c r="AG47" s="1"/>
  <c r="AH47" s="1"/>
  <c r="Z52"/>
  <c r="AF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Z70"/>
  <c r="AF70" s="1"/>
  <c r="AG70" s="1"/>
  <c r="AH70" s="1"/>
  <c r="X118" i="884"/>
  <c r="U20"/>
  <c r="Z21"/>
  <c r="AF21" s="1"/>
  <c r="AG21" s="1"/>
  <c r="AH21" s="1"/>
  <c r="U24"/>
  <c r="AG24" s="1"/>
  <c r="AH24" s="1"/>
  <c r="U30"/>
  <c r="Z44"/>
  <c r="AF44" s="1"/>
  <c r="Z49"/>
  <c r="AF49" s="1"/>
  <c r="AG49" s="1"/>
  <c r="AH49" s="1"/>
  <c r="U29"/>
  <c r="AG29" s="1"/>
  <c r="AH29" s="1"/>
  <c r="Q73"/>
  <c r="E74" s="1"/>
  <c r="Z25"/>
  <c r="AF25" s="1"/>
  <c r="AG25" s="1"/>
  <c r="AH25" s="1"/>
  <c r="U47"/>
  <c r="AG47" s="1"/>
  <c r="AH47" s="1"/>
  <c r="Z63"/>
  <c r="AF63" s="1"/>
  <c r="Z67"/>
  <c r="AF67" s="1"/>
  <c r="AG67" s="1"/>
  <c r="AH67" s="1"/>
  <c r="Z28"/>
  <c r="AF28" s="1"/>
  <c r="AG28" s="1"/>
  <c r="AH28" s="1"/>
  <c r="AG30"/>
  <c r="AH30" s="1"/>
  <c r="AG35"/>
  <c r="AH35" s="1"/>
  <c r="AG48"/>
  <c r="AH48" s="1"/>
  <c r="AG54"/>
  <c r="AH54" s="1"/>
  <c r="AG63"/>
  <c r="AH63" s="1"/>
  <c r="Z9"/>
  <c r="AF9" s="1"/>
  <c r="AG9" s="1"/>
  <c r="AH9" s="1"/>
  <c r="U27"/>
  <c r="AG27" s="1"/>
  <c r="AH27" s="1"/>
  <c r="AG31"/>
  <c r="AH31" s="1"/>
  <c r="U37"/>
  <c r="AG37" s="1"/>
  <c r="AH37" s="1"/>
  <c r="Z38"/>
  <c r="AF38" s="1"/>
  <c r="AG38" s="1"/>
  <c r="AH38" s="1"/>
  <c r="U42"/>
  <c r="AG42" s="1"/>
  <c r="AH42" s="1"/>
  <c r="Z45"/>
  <c r="AF45" s="1"/>
  <c r="AG45" s="1"/>
  <c r="AH45" s="1"/>
  <c r="Z51"/>
  <c r="AF51" s="1"/>
  <c r="AG51" s="1"/>
  <c r="AH51" s="1"/>
  <c r="AG55"/>
  <c r="AH55" s="1"/>
  <c r="AG59"/>
  <c r="AH59" s="1"/>
  <c r="U65"/>
  <c r="AG65" s="1"/>
  <c r="AH65" s="1"/>
  <c r="Z68"/>
  <c r="AF68" s="1"/>
  <c r="AG68" s="1"/>
  <c r="AH68" s="1"/>
  <c r="AG20"/>
  <c r="AH20" s="1"/>
  <c r="U23"/>
  <c r="AG23" s="1"/>
  <c r="AH23" s="1"/>
  <c r="U33"/>
  <c r="AG33" s="1"/>
  <c r="AH33" s="1"/>
  <c r="Z39"/>
  <c r="AF39" s="1"/>
  <c r="AG39" s="1"/>
  <c r="AH39" s="1"/>
  <c r="U61"/>
  <c r="AG61" s="1"/>
  <c r="AH61" s="1"/>
  <c r="U8"/>
  <c r="Z8"/>
  <c r="AF8" s="1"/>
  <c r="U14"/>
  <c r="Z14"/>
  <c r="AF14" s="1"/>
  <c r="Z12"/>
  <c r="AF12" s="1"/>
  <c r="U12"/>
  <c r="AG44"/>
  <c r="AH44" s="1"/>
  <c r="AG15"/>
  <c r="AH15" s="1"/>
  <c r="AG19"/>
  <c r="AH19" s="1"/>
  <c r="AG34"/>
  <c r="AH34" s="1"/>
  <c r="AG53"/>
  <c r="AH53" s="1"/>
  <c r="AG62"/>
  <c r="AH62" s="1"/>
  <c r="Z11"/>
  <c r="AF11" s="1"/>
  <c r="U11"/>
  <c r="U50"/>
  <c r="Z50"/>
  <c r="AF50" s="1"/>
  <c r="U69"/>
  <c r="Z69"/>
  <c r="AF69" s="1"/>
  <c r="S7"/>
  <c r="Z10"/>
  <c r="AF10" s="1"/>
  <c r="AG10" s="1"/>
  <c r="AH10" s="1"/>
  <c r="Z13"/>
  <c r="AF13" s="1"/>
  <c r="AG13" s="1"/>
  <c r="AH13" s="1"/>
  <c r="Z15"/>
  <c r="AF15" s="1"/>
  <c r="Z16"/>
  <c r="AF16" s="1"/>
  <c r="AG16" s="1"/>
  <c r="AH16" s="1"/>
  <c r="Z17"/>
  <c r="AF17" s="1"/>
  <c r="AG17" s="1"/>
  <c r="AH17" s="1"/>
  <c r="Z22"/>
  <c r="AF22" s="1"/>
  <c r="AG22" s="1"/>
  <c r="AH22" s="1"/>
  <c r="Z26"/>
  <c r="AF26" s="1"/>
  <c r="AG26" s="1"/>
  <c r="AH26" s="1"/>
  <c r="Z32"/>
  <c r="AF32" s="1"/>
  <c r="AG32" s="1"/>
  <c r="AH32" s="1"/>
  <c r="Z36"/>
  <c r="AF36" s="1"/>
  <c r="AG36" s="1"/>
  <c r="AH36" s="1"/>
  <c r="U40"/>
  <c r="AG40" s="1"/>
  <c r="AH40" s="1"/>
  <c r="Z41"/>
  <c r="AF41" s="1"/>
  <c r="AG41" s="1"/>
  <c r="AH41" s="1"/>
  <c r="Z46"/>
  <c r="AF46" s="1"/>
  <c r="AG46" s="1"/>
  <c r="AH46" s="1"/>
  <c r="Z52"/>
  <c r="AF52" s="1"/>
  <c r="AG52" s="1"/>
  <c r="AH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Z70"/>
  <c r="AF70" s="1"/>
  <c r="AG70" s="1"/>
  <c r="AH70" s="1"/>
  <c r="Z71"/>
  <c r="AF71" s="1"/>
  <c r="AG71" s="1"/>
  <c r="AH71" s="1"/>
  <c r="S16" i="883"/>
  <c r="U16" s="1"/>
  <c r="X118"/>
  <c r="R80"/>
  <c r="R73"/>
  <c r="D76" s="1"/>
  <c r="U12"/>
  <c r="AG12" s="1"/>
  <c r="AH12" s="1"/>
  <c r="Q73"/>
  <c r="E74" s="1"/>
  <c r="Z28"/>
  <c r="AF28" s="1"/>
  <c r="Z38"/>
  <c r="AF38" s="1"/>
  <c r="U10"/>
  <c r="AG10" s="1"/>
  <c r="AH10" s="1"/>
  <c r="U27"/>
  <c r="AG27" s="1"/>
  <c r="AH27" s="1"/>
  <c r="U30"/>
  <c r="U33"/>
  <c r="Z39"/>
  <c r="AF39" s="1"/>
  <c r="AG39" s="1"/>
  <c r="AH39" s="1"/>
  <c r="Z49"/>
  <c r="AF49" s="1"/>
  <c r="U64"/>
  <c r="U29"/>
  <c r="AG29" s="1"/>
  <c r="AH29" s="1"/>
  <c r="AG65"/>
  <c r="AH65" s="1"/>
  <c r="AG15"/>
  <c r="AH15" s="1"/>
  <c r="AG20"/>
  <c r="AH20" s="1"/>
  <c r="AG30"/>
  <c r="AH30" s="1"/>
  <c r="AG48"/>
  <c r="AH48" s="1"/>
  <c r="AG53"/>
  <c r="AH53" s="1"/>
  <c r="AG54"/>
  <c r="AH54" s="1"/>
  <c r="AG21"/>
  <c r="AH21" s="1"/>
  <c r="AG31"/>
  <c r="AH31" s="1"/>
  <c r="AG49"/>
  <c r="AH49" s="1"/>
  <c r="AG62"/>
  <c r="AH62" s="1"/>
  <c r="Z13"/>
  <c r="AF13" s="1"/>
  <c r="AG13" s="1"/>
  <c r="AH13" s="1"/>
  <c r="Z24"/>
  <c r="AF24" s="1"/>
  <c r="AG24" s="1"/>
  <c r="AH24" s="1"/>
  <c r="Z34"/>
  <c r="AF34" s="1"/>
  <c r="AG34" s="1"/>
  <c r="AH34" s="1"/>
  <c r="AG45"/>
  <c r="AH45" s="1"/>
  <c r="Z65"/>
  <c r="AF65" s="1"/>
  <c r="AG67"/>
  <c r="AH67" s="1"/>
  <c r="U19"/>
  <c r="AG19" s="1"/>
  <c r="AH19" s="1"/>
  <c r="Z25"/>
  <c r="AF25" s="1"/>
  <c r="AG25" s="1"/>
  <c r="AH25" s="1"/>
  <c r="Z35"/>
  <c r="AF35" s="1"/>
  <c r="AG35" s="1"/>
  <c r="AH35" s="1"/>
  <c r="U47"/>
  <c r="AG47" s="1"/>
  <c r="AH47" s="1"/>
  <c r="U52"/>
  <c r="AG52" s="1"/>
  <c r="AH52" s="1"/>
  <c r="U69"/>
  <c r="Z69"/>
  <c r="AF69" s="1"/>
  <c r="U8"/>
  <c r="Z8"/>
  <c r="AF8" s="1"/>
  <c r="AG28"/>
  <c r="AH28" s="1"/>
  <c r="AG44"/>
  <c r="AH44" s="1"/>
  <c r="AG57"/>
  <c r="AH57" s="1"/>
  <c r="AG61"/>
  <c r="AH61" s="1"/>
  <c r="AG23"/>
  <c r="AH23" s="1"/>
  <c r="AG33"/>
  <c r="AH33" s="1"/>
  <c r="AG38"/>
  <c r="AH38" s="1"/>
  <c r="AG64"/>
  <c r="AH64" s="1"/>
  <c r="S14"/>
  <c r="Z40"/>
  <c r="AF40" s="1"/>
  <c r="AG40" s="1"/>
  <c r="AH40" s="1"/>
  <c r="Z9"/>
  <c r="AF9" s="1"/>
  <c r="AG9" s="1"/>
  <c r="AH9" s="1"/>
  <c r="Z11"/>
  <c r="AF11" s="1"/>
  <c r="AG11" s="1"/>
  <c r="AH11" s="1"/>
  <c r="Z17"/>
  <c r="AF17" s="1"/>
  <c r="AG17" s="1"/>
  <c r="AH17" s="1"/>
  <c r="Z22"/>
  <c r="AF22" s="1"/>
  <c r="AG22" s="1"/>
  <c r="AH22" s="1"/>
  <c r="Z26"/>
  <c r="AF26" s="1"/>
  <c r="AG26" s="1"/>
  <c r="AH26" s="1"/>
  <c r="Z32"/>
  <c r="AF32" s="1"/>
  <c r="AG32" s="1"/>
  <c r="AH32" s="1"/>
  <c r="Z36"/>
  <c r="AF36" s="1"/>
  <c r="AG36" s="1"/>
  <c r="AH36" s="1"/>
  <c r="Z41"/>
  <c r="AF41" s="1"/>
  <c r="AG41" s="1"/>
  <c r="AH41" s="1"/>
  <c r="Z46"/>
  <c r="AF46" s="1"/>
  <c r="AG46" s="1"/>
  <c r="AH46" s="1"/>
  <c r="U50"/>
  <c r="AG50" s="1"/>
  <c r="AH50" s="1"/>
  <c r="Z51"/>
  <c r="AF51" s="1"/>
  <c r="AG51" s="1"/>
  <c r="AH51" s="1"/>
  <c r="Z55"/>
  <c r="AF55" s="1"/>
  <c r="AG55" s="1"/>
  <c r="AH55" s="1"/>
  <c r="Z59"/>
  <c r="AF59" s="1"/>
  <c r="AG59" s="1"/>
  <c r="AH59" s="1"/>
  <c r="Z63"/>
  <c r="AF63" s="1"/>
  <c r="AG63" s="1"/>
  <c r="AH63" s="1"/>
  <c r="Z68"/>
  <c r="AF68" s="1"/>
  <c r="AG68" s="1"/>
  <c r="AH68" s="1"/>
  <c r="Z70"/>
  <c r="AF70" s="1"/>
  <c r="AG70" s="1"/>
  <c r="AH70" s="1"/>
  <c r="Z71"/>
  <c r="AF71" s="1"/>
  <c r="AG71" s="1"/>
  <c r="AH71" s="1"/>
  <c r="S7"/>
  <c r="X145" i="882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R118" s="1"/>
  <c r="X92"/>
  <c r="X91"/>
  <c r="X90"/>
  <c r="X89"/>
  <c r="X88"/>
  <c r="X87"/>
  <c r="X80"/>
  <c r="R77"/>
  <c r="M77"/>
  <c r="F77"/>
  <c r="R76"/>
  <c r="R80" s="1"/>
  <c r="R75"/>
  <c r="T74"/>
  <c r="R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D73"/>
  <c r="E75" s="1"/>
  <c r="AG72"/>
  <c r="AH72" s="1"/>
  <c r="AF72"/>
  <c r="Z72"/>
  <c r="S71"/>
  <c r="U71" s="1"/>
  <c r="Q71"/>
  <c r="S70"/>
  <c r="U70" s="1"/>
  <c r="Q70"/>
  <c r="S69"/>
  <c r="Z69" s="1"/>
  <c r="AF69" s="1"/>
  <c r="Q69"/>
  <c r="S68"/>
  <c r="Z68" s="1"/>
  <c r="AF68" s="1"/>
  <c r="Q68"/>
  <c r="S67"/>
  <c r="Z67" s="1"/>
  <c r="AF67" s="1"/>
  <c r="Q67"/>
  <c r="AG66"/>
  <c r="AH66" s="1"/>
  <c r="AF66"/>
  <c r="Z66"/>
  <c r="S65"/>
  <c r="U65" s="1"/>
  <c r="Q65"/>
  <c r="S64"/>
  <c r="Z64" s="1"/>
  <c r="AF64" s="1"/>
  <c r="Q64"/>
  <c r="U63"/>
  <c r="S63"/>
  <c r="Z63" s="1"/>
  <c r="AF63" s="1"/>
  <c r="Q63"/>
  <c r="S62"/>
  <c r="Z62" s="1"/>
  <c r="AF62" s="1"/>
  <c r="Q62"/>
  <c r="S61"/>
  <c r="U61" s="1"/>
  <c r="Q61"/>
  <c r="U60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U57" s="1"/>
  <c r="Q57"/>
  <c r="U56"/>
  <c r="S56"/>
  <c r="Z56" s="1"/>
  <c r="AF56" s="1"/>
  <c r="Q56"/>
  <c r="S55"/>
  <c r="Z55" s="1"/>
  <c r="AF55" s="1"/>
  <c r="Q55"/>
  <c r="S54"/>
  <c r="Z54" s="1"/>
  <c r="AF54" s="1"/>
  <c r="Q54"/>
  <c r="S53"/>
  <c r="U53" s="1"/>
  <c r="Q53"/>
  <c r="S52"/>
  <c r="U52" s="1"/>
  <c r="Q52"/>
  <c r="S51"/>
  <c r="U51" s="1"/>
  <c r="Q51"/>
  <c r="T50"/>
  <c r="S50"/>
  <c r="Z50" s="1"/>
  <c r="AF50" s="1"/>
  <c r="Q50"/>
  <c r="S49"/>
  <c r="Z49" s="1"/>
  <c r="AF49" s="1"/>
  <c r="Q49"/>
  <c r="S48"/>
  <c r="U48" s="1"/>
  <c r="Q48"/>
  <c r="S47"/>
  <c r="Z47" s="1"/>
  <c r="AF47" s="1"/>
  <c r="Q47"/>
  <c r="S46"/>
  <c r="Z46" s="1"/>
  <c r="AF46" s="1"/>
  <c r="Q46"/>
  <c r="S45"/>
  <c r="Z45" s="1"/>
  <c r="AF45" s="1"/>
  <c r="Q45"/>
  <c r="S44"/>
  <c r="U44" s="1"/>
  <c r="Q44"/>
  <c r="AF43"/>
  <c r="AG43" s="1"/>
  <c r="AH43" s="1"/>
  <c r="Z43"/>
  <c r="S42"/>
  <c r="Z42" s="1"/>
  <c r="AF42" s="1"/>
  <c r="Q42"/>
  <c r="S41"/>
  <c r="Z41" s="1"/>
  <c r="AF41" s="1"/>
  <c r="Q41"/>
  <c r="T40"/>
  <c r="T73" s="1"/>
  <c r="S40"/>
  <c r="Z40" s="1"/>
  <c r="AF40" s="1"/>
  <c r="Q40"/>
  <c r="S39"/>
  <c r="Z39" s="1"/>
  <c r="AF39" s="1"/>
  <c r="Q39"/>
  <c r="S38"/>
  <c r="U38" s="1"/>
  <c r="Q38"/>
  <c r="S37"/>
  <c r="U37" s="1"/>
  <c r="Q37"/>
  <c r="Q36"/>
  <c r="S36"/>
  <c r="U35"/>
  <c r="S35"/>
  <c r="Z35" s="1"/>
  <c r="AF35" s="1"/>
  <c r="Q35"/>
  <c r="S34"/>
  <c r="Z34" s="1"/>
  <c r="AF34" s="1"/>
  <c r="Q34"/>
  <c r="S33"/>
  <c r="Z33" s="1"/>
  <c r="AF33" s="1"/>
  <c r="Q33"/>
  <c r="S32"/>
  <c r="U32" s="1"/>
  <c r="Q32"/>
  <c r="C73"/>
  <c r="S31"/>
  <c r="U31" s="1"/>
  <c r="Q31"/>
  <c r="S30"/>
  <c r="U30" s="1"/>
  <c r="Q30"/>
  <c r="T29"/>
  <c r="S29"/>
  <c r="U29" s="1"/>
  <c r="Q29"/>
  <c r="T28"/>
  <c r="S28"/>
  <c r="Z28" s="1"/>
  <c r="AF28" s="1"/>
  <c r="Q28"/>
  <c r="S27"/>
  <c r="U27" s="1"/>
  <c r="Q27"/>
  <c r="S26"/>
  <c r="Z26" s="1"/>
  <c r="AF26" s="1"/>
  <c r="Q26"/>
  <c r="S25"/>
  <c r="U25" s="1"/>
  <c r="Q25"/>
  <c r="S24"/>
  <c r="U24" s="1"/>
  <c r="Q24"/>
  <c r="S23"/>
  <c r="U23" s="1"/>
  <c r="Q23"/>
  <c r="S22"/>
  <c r="Z22" s="1"/>
  <c r="AF22" s="1"/>
  <c r="Q22"/>
  <c r="S21"/>
  <c r="U21" s="1"/>
  <c r="Q21"/>
  <c r="S20"/>
  <c r="Z20" s="1"/>
  <c r="AF20" s="1"/>
  <c r="Q20"/>
  <c r="S19"/>
  <c r="Z19" s="1"/>
  <c r="AF19" s="1"/>
  <c r="Q19"/>
  <c r="AH18"/>
  <c r="AG18"/>
  <c r="AF18"/>
  <c r="Z18"/>
  <c r="U17"/>
  <c r="AG17" s="1"/>
  <c r="AH17" s="1"/>
  <c r="S17"/>
  <c r="Z17" s="1"/>
  <c r="AF17" s="1"/>
  <c r="Q17"/>
  <c r="S16"/>
  <c r="U16" s="1"/>
  <c r="Q16"/>
  <c r="S15"/>
  <c r="U15" s="1"/>
  <c r="Q15"/>
  <c r="S14"/>
  <c r="U14" s="1"/>
  <c r="R73"/>
  <c r="D76" s="1"/>
  <c r="Q14"/>
  <c r="S13"/>
  <c r="Z13" s="1"/>
  <c r="AF13" s="1"/>
  <c r="Q13"/>
  <c r="S12"/>
  <c r="Z12" s="1"/>
  <c r="AF12" s="1"/>
  <c r="Q12"/>
  <c r="S11"/>
  <c r="U11" s="1"/>
  <c r="Q11"/>
  <c r="Z10"/>
  <c r="AF10" s="1"/>
  <c r="S10"/>
  <c r="U10" s="1"/>
  <c r="Q10"/>
  <c r="Z9"/>
  <c r="AF9" s="1"/>
  <c r="S9"/>
  <c r="U9" s="1"/>
  <c r="Q9"/>
  <c r="S8"/>
  <c r="Z8" s="1"/>
  <c r="AF8" s="1"/>
  <c r="Q8"/>
  <c r="S7"/>
  <c r="U7" s="1"/>
  <c r="Q7"/>
  <c r="F77" i="881"/>
  <c r="R76"/>
  <c r="R75"/>
  <c r="R74"/>
  <c r="C32"/>
  <c r="S32" s="1"/>
  <c r="C36"/>
  <c r="S36" s="1"/>
  <c r="Z36" s="1"/>
  <c r="AF36" s="1"/>
  <c r="C38"/>
  <c r="R14"/>
  <c r="R71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R77"/>
  <c r="M77"/>
  <c r="R80"/>
  <c r="T74"/>
  <c r="AJ73"/>
  <c r="AI73"/>
  <c r="AE73"/>
  <c r="AD73"/>
  <c r="AC73"/>
  <c r="AB73"/>
  <c r="AA73"/>
  <c r="Y73"/>
  <c r="V73"/>
  <c r="T73"/>
  <c r="P73"/>
  <c r="O73"/>
  <c r="N73"/>
  <c r="M73"/>
  <c r="L73"/>
  <c r="K73"/>
  <c r="J73"/>
  <c r="I73"/>
  <c r="H73"/>
  <c r="G73"/>
  <c r="F73"/>
  <c r="E73"/>
  <c r="AF72"/>
  <c r="AG72" s="1"/>
  <c r="AH72" s="1"/>
  <c r="Z72"/>
  <c r="Q71"/>
  <c r="S70"/>
  <c r="U70" s="1"/>
  <c r="Q70"/>
  <c r="S69"/>
  <c r="U69" s="1"/>
  <c r="Q69"/>
  <c r="U68"/>
  <c r="S68"/>
  <c r="Z68" s="1"/>
  <c r="AF68" s="1"/>
  <c r="Q68"/>
  <c r="S67"/>
  <c r="Z67" s="1"/>
  <c r="AF67" s="1"/>
  <c r="Q67"/>
  <c r="AG66"/>
  <c r="AH66" s="1"/>
  <c r="AF66"/>
  <c r="Z66"/>
  <c r="S65"/>
  <c r="Z65" s="1"/>
  <c r="AF65" s="1"/>
  <c r="Q65"/>
  <c r="S64"/>
  <c r="U64" s="1"/>
  <c r="Q64"/>
  <c r="S63"/>
  <c r="U63" s="1"/>
  <c r="Q63"/>
  <c r="S62"/>
  <c r="Z62" s="1"/>
  <c r="AF62" s="1"/>
  <c r="Q62"/>
  <c r="S61"/>
  <c r="Z61" s="1"/>
  <c r="AF61" s="1"/>
  <c r="Q61"/>
  <c r="S60"/>
  <c r="U60" s="1"/>
  <c r="Q60"/>
  <c r="S59"/>
  <c r="U59" s="1"/>
  <c r="Q59"/>
  <c r="AF58"/>
  <c r="Z58"/>
  <c r="U58"/>
  <c r="AG58" s="1"/>
  <c r="AH58" s="1"/>
  <c r="Q58"/>
  <c r="T57"/>
  <c r="S57"/>
  <c r="U57" s="1"/>
  <c r="Q57"/>
  <c r="S56"/>
  <c r="U56" s="1"/>
  <c r="Q56"/>
  <c r="S55"/>
  <c r="U55" s="1"/>
  <c r="Q55"/>
  <c r="S54"/>
  <c r="Z54" s="1"/>
  <c r="AF54" s="1"/>
  <c r="Q54"/>
  <c r="S53"/>
  <c r="Z53" s="1"/>
  <c r="AF53" s="1"/>
  <c r="Q53"/>
  <c r="S52"/>
  <c r="U52" s="1"/>
  <c r="Q52"/>
  <c r="S51"/>
  <c r="U51" s="1"/>
  <c r="Q51"/>
  <c r="T50"/>
  <c r="S50"/>
  <c r="Z50" s="1"/>
  <c r="AF50" s="1"/>
  <c r="Q50"/>
  <c r="S49"/>
  <c r="Z49" s="1"/>
  <c r="AF49" s="1"/>
  <c r="Q49"/>
  <c r="S48"/>
  <c r="Z48" s="1"/>
  <c r="AF48" s="1"/>
  <c r="Q48"/>
  <c r="S47"/>
  <c r="U47" s="1"/>
  <c r="Q47"/>
  <c r="S46"/>
  <c r="U46" s="1"/>
  <c r="Q46"/>
  <c r="S45"/>
  <c r="Z45" s="1"/>
  <c r="AF45" s="1"/>
  <c r="Q45"/>
  <c r="S44"/>
  <c r="Z44" s="1"/>
  <c r="AF44" s="1"/>
  <c r="Q44"/>
  <c r="AF43"/>
  <c r="AG43" s="1"/>
  <c r="AH43" s="1"/>
  <c r="Z43"/>
  <c r="S42"/>
  <c r="U42" s="1"/>
  <c r="Q42"/>
  <c r="Q41"/>
  <c r="S41"/>
  <c r="T40"/>
  <c r="S40"/>
  <c r="U40" s="1"/>
  <c r="Q40"/>
  <c r="S39"/>
  <c r="U39" s="1"/>
  <c r="Q39"/>
  <c r="S38"/>
  <c r="Z38" s="1"/>
  <c r="AF38" s="1"/>
  <c r="Q38"/>
  <c r="S37"/>
  <c r="Z37" s="1"/>
  <c r="AF37" s="1"/>
  <c r="Q37"/>
  <c r="Q36"/>
  <c r="U35"/>
  <c r="S35"/>
  <c r="Z35" s="1"/>
  <c r="AF35" s="1"/>
  <c r="Q35"/>
  <c r="S34"/>
  <c r="Z34" s="1"/>
  <c r="AF34" s="1"/>
  <c r="Q34"/>
  <c r="S33"/>
  <c r="Z33" s="1"/>
  <c r="AF33" s="1"/>
  <c r="Q33"/>
  <c r="Q32"/>
  <c r="S31"/>
  <c r="Z31" s="1"/>
  <c r="AF31" s="1"/>
  <c r="Q31"/>
  <c r="S30"/>
  <c r="Z30" s="1"/>
  <c r="AF30" s="1"/>
  <c r="Q30"/>
  <c r="T29"/>
  <c r="S29"/>
  <c r="Z29" s="1"/>
  <c r="AF29" s="1"/>
  <c r="Q29"/>
  <c r="T28"/>
  <c r="S28"/>
  <c r="Z28" s="1"/>
  <c r="AF28" s="1"/>
  <c r="Q28"/>
  <c r="S27"/>
  <c r="Z27" s="1"/>
  <c r="AF27" s="1"/>
  <c r="Q27"/>
  <c r="S26"/>
  <c r="Z26" s="1"/>
  <c r="AF26" s="1"/>
  <c r="Q26"/>
  <c r="S25"/>
  <c r="U25" s="1"/>
  <c r="Q25"/>
  <c r="S24"/>
  <c r="U24" s="1"/>
  <c r="Q24"/>
  <c r="U23"/>
  <c r="S23"/>
  <c r="Z23" s="1"/>
  <c r="AF23" s="1"/>
  <c r="Q23"/>
  <c r="S22"/>
  <c r="Z22" s="1"/>
  <c r="AF22" s="1"/>
  <c r="Q22"/>
  <c r="S21"/>
  <c r="Z21" s="1"/>
  <c r="AF21" s="1"/>
  <c r="Q21"/>
  <c r="S20"/>
  <c r="Z20" s="1"/>
  <c r="AF20" s="1"/>
  <c r="Q20"/>
  <c r="S19"/>
  <c r="Z19" s="1"/>
  <c r="AF19" s="1"/>
  <c r="Q19"/>
  <c r="AG18"/>
  <c r="AH18" s="1"/>
  <c r="AF18"/>
  <c r="Z18"/>
  <c r="S17"/>
  <c r="Z17" s="1"/>
  <c r="AF17" s="1"/>
  <c r="Q17"/>
  <c r="U16"/>
  <c r="S16"/>
  <c r="Z16" s="1"/>
  <c r="AF16" s="1"/>
  <c r="Q16"/>
  <c r="U15"/>
  <c r="S15"/>
  <c r="Z15" s="1"/>
  <c r="AF15" s="1"/>
  <c r="Q15"/>
  <c r="Q14"/>
  <c r="S14"/>
  <c r="S13"/>
  <c r="Z13" s="1"/>
  <c r="AF13" s="1"/>
  <c r="Q13"/>
  <c r="S12"/>
  <c r="Z12" s="1"/>
  <c r="AF12" s="1"/>
  <c r="Q12"/>
  <c r="S11"/>
  <c r="Z11" s="1"/>
  <c r="AF11" s="1"/>
  <c r="Q11"/>
  <c r="S10"/>
  <c r="U10" s="1"/>
  <c r="Q10"/>
  <c r="S9"/>
  <c r="U9" s="1"/>
  <c r="Q9"/>
  <c r="Q8"/>
  <c r="S8"/>
  <c r="Z7"/>
  <c r="AF7" s="1"/>
  <c r="S7"/>
  <c r="U7" s="1"/>
  <c r="Q7"/>
  <c r="C32" i="880"/>
  <c r="C73" s="1"/>
  <c r="C41"/>
  <c r="R76"/>
  <c r="R75"/>
  <c r="R74"/>
  <c r="F77"/>
  <c r="R8"/>
  <c r="R7"/>
  <c r="S7" s="1"/>
  <c r="Z7" s="1"/>
  <c r="R71"/>
  <c r="S71" s="1"/>
  <c r="R69"/>
  <c r="R14"/>
  <c r="D8"/>
  <c r="D14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R77"/>
  <c r="M77"/>
  <c r="R80"/>
  <c r="T74"/>
  <c r="AJ73"/>
  <c r="AI73"/>
  <c r="AE73"/>
  <c r="AD73"/>
  <c r="AC73"/>
  <c r="AB73"/>
  <c r="AA73"/>
  <c r="Y73"/>
  <c r="V73"/>
  <c r="T73"/>
  <c r="P73"/>
  <c r="O73"/>
  <c r="N73"/>
  <c r="M73"/>
  <c r="L73"/>
  <c r="K73"/>
  <c r="J73"/>
  <c r="I73"/>
  <c r="H73"/>
  <c r="G73"/>
  <c r="F73"/>
  <c r="E73"/>
  <c r="AF72"/>
  <c r="AG72" s="1"/>
  <c r="AH72" s="1"/>
  <c r="Z72"/>
  <c r="Q71"/>
  <c r="S70"/>
  <c r="Z70" s="1"/>
  <c r="AF70" s="1"/>
  <c r="Q70"/>
  <c r="S69"/>
  <c r="Z69" s="1"/>
  <c r="AF69" s="1"/>
  <c r="Q69"/>
  <c r="S68"/>
  <c r="Z68" s="1"/>
  <c r="AF68" s="1"/>
  <c r="Q68"/>
  <c r="Z67"/>
  <c r="AF67" s="1"/>
  <c r="U67"/>
  <c r="S67"/>
  <c r="Q67"/>
  <c r="Z66"/>
  <c r="AF66" s="1"/>
  <c r="AG66" s="1"/>
  <c r="AH66" s="1"/>
  <c r="S65"/>
  <c r="Z65" s="1"/>
  <c r="AF65" s="1"/>
  <c r="Q65"/>
  <c r="S64"/>
  <c r="Z64" s="1"/>
  <c r="AF64" s="1"/>
  <c r="Q64"/>
  <c r="S63"/>
  <c r="Z63" s="1"/>
  <c r="AF63" s="1"/>
  <c r="Q63"/>
  <c r="Z62"/>
  <c r="AF62" s="1"/>
  <c r="U62"/>
  <c r="S62"/>
  <c r="Q62"/>
  <c r="Z61"/>
  <c r="AF61" s="1"/>
  <c r="U61"/>
  <c r="S61"/>
  <c r="Q61"/>
  <c r="U60"/>
  <c r="AG60" s="1"/>
  <c r="AH60" s="1"/>
  <c r="S60"/>
  <c r="Z60" s="1"/>
  <c r="AF60" s="1"/>
  <c r="Q60"/>
  <c r="S59"/>
  <c r="Z59" s="1"/>
  <c r="AF59" s="1"/>
  <c r="Q59"/>
  <c r="AF58"/>
  <c r="Z58"/>
  <c r="U58"/>
  <c r="AG58" s="1"/>
  <c r="AH58" s="1"/>
  <c r="Q58"/>
  <c r="U57"/>
  <c r="AG57" s="1"/>
  <c r="AH57" s="1"/>
  <c r="T57"/>
  <c r="S57"/>
  <c r="Z57" s="1"/>
  <c r="AF57" s="1"/>
  <c r="Q57"/>
  <c r="U56"/>
  <c r="AG56" s="1"/>
  <c r="AH56" s="1"/>
  <c r="S56"/>
  <c r="Z56" s="1"/>
  <c r="AF56" s="1"/>
  <c r="Q56"/>
  <c r="S55"/>
  <c r="Z55" s="1"/>
  <c r="AF55" s="1"/>
  <c r="Q55"/>
  <c r="U54"/>
  <c r="S54"/>
  <c r="Z54" s="1"/>
  <c r="AF54" s="1"/>
  <c r="Q54"/>
  <c r="U53"/>
  <c r="S53"/>
  <c r="Z53" s="1"/>
  <c r="AF53" s="1"/>
  <c r="Q53"/>
  <c r="S52"/>
  <c r="Z52" s="1"/>
  <c r="AF52" s="1"/>
  <c r="Q52"/>
  <c r="S51"/>
  <c r="Z51" s="1"/>
  <c r="AF51" s="1"/>
  <c r="Q51"/>
  <c r="T50"/>
  <c r="S50"/>
  <c r="U50" s="1"/>
  <c r="Q50"/>
  <c r="S49"/>
  <c r="Z49" s="1"/>
  <c r="AF49" s="1"/>
  <c r="Q49"/>
  <c r="U48"/>
  <c r="S48"/>
  <c r="Z48" s="1"/>
  <c r="AF48" s="1"/>
  <c r="Q48"/>
  <c r="S47"/>
  <c r="Z47" s="1"/>
  <c r="AF47" s="1"/>
  <c r="Q47"/>
  <c r="S46"/>
  <c r="Z46" s="1"/>
  <c r="AF46" s="1"/>
  <c r="Q46"/>
  <c r="S45"/>
  <c r="Z45" s="1"/>
  <c r="AF45" s="1"/>
  <c r="Q45"/>
  <c r="S44"/>
  <c r="U44" s="1"/>
  <c r="Q44"/>
  <c r="AH43"/>
  <c r="AG43"/>
  <c r="AF43"/>
  <c r="Z43"/>
  <c r="U42"/>
  <c r="AG42" s="1"/>
  <c r="AH42" s="1"/>
  <c r="S42"/>
  <c r="Z42" s="1"/>
  <c r="AF42" s="1"/>
  <c r="Q42"/>
  <c r="S41"/>
  <c r="Z41" s="1"/>
  <c r="AF41" s="1"/>
  <c r="Q41"/>
  <c r="T40"/>
  <c r="S40"/>
  <c r="U40" s="1"/>
  <c r="Q40"/>
  <c r="U39"/>
  <c r="S39"/>
  <c r="Z39" s="1"/>
  <c r="AF39" s="1"/>
  <c r="Q39"/>
  <c r="S38"/>
  <c r="Z38" s="1"/>
  <c r="AF38" s="1"/>
  <c r="Q38"/>
  <c r="S37"/>
  <c r="Z37" s="1"/>
  <c r="AF37" s="1"/>
  <c r="Q37"/>
  <c r="S36"/>
  <c r="Z36" s="1"/>
  <c r="AF36" s="1"/>
  <c r="Q36"/>
  <c r="U35"/>
  <c r="S35"/>
  <c r="Z35" s="1"/>
  <c r="AF35" s="1"/>
  <c r="Q35"/>
  <c r="U34"/>
  <c r="S34"/>
  <c r="Z34" s="1"/>
  <c r="AF34" s="1"/>
  <c r="Q34"/>
  <c r="S33"/>
  <c r="Z33" s="1"/>
  <c r="AF33" s="1"/>
  <c r="Q33"/>
  <c r="Q32"/>
  <c r="U31"/>
  <c r="S31"/>
  <c r="Z31" s="1"/>
  <c r="AF31" s="1"/>
  <c r="Q31"/>
  <c r="S30"/>
  <c r="Z30" s="1"/>
  <c r="AF30" s="1"/>
  <c r="Q30"/>
  <c r="T29"/>
  <c r="S29"/>
  <c r="Z29" s="1"/>
  <c r="AF29" s="1"/>
  <c r="Q29"/>
  <c r="T28"/>
  <c r="S28"/>
  <c r="Z28" s="1"/>
  <c r="AF28" s="1"/>
  <c r="Q28"/>
  <c r="S27"/>
  <c r="Z27" s="1"/>
  <c r="AF27" s="1"/>
  <c r="Q27"/>
  <c r="S26"/>
  <c r="Z26" s="1"/>
  <c r="AF26" s="1"/>
  <c r="Q26"/>
  <c r="Z25"/>
  <c r="AF25" s="1"/>
  <c r="U25"/>
  <c r="S25"/>
  <c r="Q25"/>
  <c r="Z24"/>
  <c r="AF24" s="1"/>
  <c r="U24"/>
  <c r="S24"/>
  <c r="Q24"/>
  <c r="U23"/>
  <c r="AG23" s="1"/>
  <c r="AH23" s="1"/>
  <c r="S23"/>
  <c r="Z23" s="1"/>
  <c r="AF23" s="1"/>
  <c r="Q23"/>
  <c r="S22"/>
  <c r="Z22" s="1"/>
  <c r="AF22" s="1"/>
  <c r="Q22"/>
  <c r="U21"/>
  <c r="S21"/>
  <c r="Z21" s="1"/>
  <c r="AF21" s="1"/>
  <c r="Q21"/>
  <c r="U20"/>
  <c r="S20"/>
  <c r="Z20" s="1"/>
  <c r="AF20" s="1"/>
  <c r="Q20"/>
  <c r="S19"/>
  <c r="Z19" s="1"/>
  <c r="AF19" s="1"/>
  <c r="Q19"/>
  <c r="AG18"/>
  <c r="AH18" s="1"/>
  <c r="AF18"/>
  <c r="Z18"/>
  <c r="S17"/>
  <c r="Z17" s="1"/>
  <c r="AF17" s="1"/>
  <c r="Q17"/>
  <c r="U16"/>
  <c r="S16"/>
  <c r="Z16" s="1"/>
  <c r="AF16" s="1"/>
  <c r="Q16"/>
  <c r="U15"/>
  <c r="S15"/>
  <c r="Z15" s="1"/>
  <c r="AF15" s="1"/>
  <c r="Q15"/>
  <c r="Q14"/>
  <c r="U13"/>
  <c r="S13"/>
  <c r="Z13" s="1"/>
  <c r="AF13" s="1"/>
  <c r="Q13"/>
  <c r="S12"/>
  <c r="Z12" s="1"/>
  <c r="AF12" s="1"/>
  <c r="Q12"/>
  <c r="S11"/>
  <c r="Z11" s="1"/>
  <c r="AF11" s="1"/>
  <c r="Q11"/>
  <c r="S10"/>
  <c r="U10" s="1"/>
  <c r="Q10"/>
  <c r="S9"/>
  <c r="Z9" s="1"/>
  <c r="AF9" s="1"/>
  <c r="Q9"/>
  <c r="Q8"/>
  <c r="Q7"/>
  <c r="Q73" s="1"/>
  <c r="E74" s="1"/>
  <c r="R76" i="879"/>
  <c r="R75"/>
  <c r="R74"/>
  <c r="M77"/>
  <c r="F77"/>
  <c r="R70"/>
  <c r="R8"/>
  <c r="R71"/>
  <c r="R69"/>
  <c r="R14"/>
  <c r="G71"/>
  <c r="D14"/>
  <c r="U73" i="895" l="1"/>
  <c r="AF14"/>
  <c r="AF73" s="1"/>
  <c r="Z73"/>
  <c r="U73" i="894"/>
  <c r="AF11"/>
  <c r="AF73" s="1"/>
  <c r="Z73"/>
  <c r="AH7"/>
  <c r="AH7" i="893"/>
  <c r="AH73" s="1"/>
  <c r="AG73"/>
  <c r="AF73" i="892"/>
  <c r="AG7"/>
  <c r="Z73" i="891"/>
  <c r="AG11"/>
  <c r="AH11" s="1"/>
  <c r="U73"/>
  <c r="AF73"/>
  <c r="AG7"/>
  <c r="Z73" i="890"/>
  <c r="AF8"/>
  <c r="AF73" s="1"/>
  <c r="U73"/>
  <c r="AG14" i="889"/>
  <c r="AH14" s="1"/>
  <c r="U73"/>
  <c r="AG71"/>
  <c r="AH71" s="1"/>
  <c r="AG17"/>
  <c r="AH17" s="1"/>
  <c r="AG69"/>
  <c r="AH69" s="1"/>
  <c r="AF7"/>
  <c r="Z73"/>
  <c r="Z14" i="888"/>
  <c r="AF14" s="1"/>
  <c r="AG14" s="1"/>
  <c r="AH14" s="1"/>
  <c r="Z29"/>
  <c r="U29"/>
  <c r="AH7"/>
  <c r="S73"/>
  <c r="AG69"/>
  <c r="AH69" s="1"/>
  <c r="S73" i="887"/>
  <c r="Z40"/>
  <c r="AF40" s="1"/>
  <c r="AG40" s="1"/>
  <c r="AH40" s="1"/>
  <c r="AG57"/>
  <c r="AH57" s="1"/>
  <c r="AG7"/>
  <c r="U12"/>
  <c r="U73" s="1"/>
  <c r="Z12"/>
  <c r="Z71" i="886"/>
  <c r="AF71" s="1"/>
  <c r="S73"/>
  <c r="AG7"/>
  <c r="AH7" s="1"/>
  <c r="AG14"/>
  <c r="AH14" s="1"/>
  <c r="AG11"/>
  <c r="AH11" s="1"/>
  <c r="U73"/>
  <c r="Z73"/>
  <c r="AG71"/>
  <c r="AH71" s="1"/>
  <c r="AG12"/>
  <c r="AH12" s="1"/>
  <c r="AF73"/>
  <c r="AG69"/>
  <c r="AH69" s="1"/>
  <c r="U14" i="885"/>
  <c r="AG14" s="1"/>
  <c r="AH14" s="1"/>
  <c r="Z71"/>
  <c r="AF71" s="1"/>
  <c r="AG71" s="1"/>
  <c r="AH71" s="1"/>
  <c r="AG69"/>
  <c r="AH69" s="1"/>
  <c r="U21"/>
  <c r="Z21"/>
  <c r="AF21" s="1"/>
  <c r="AG7"/>
  <c r="S73"/>
  <c r="AG14" i="884"/>
  <c r="AH14" s="1"/>
  <c r="AG12"/>
  <c r="AH12" s="1"/>
  <c r="AG69"/>
  <c r="AH69" s="1"/>
  <c r="U7"/>
  <c r="Z7"/>
  <c r="S73"/>
  <c r="AG50"/>
  <c r="AH50" s="1"/>
  <c r="AG8"/>
  <c r="AH8" s="1"/>
  <c r="AG11"/>
  <c r="AH11" s="1"/>
  <c r="Z16" i="883"/>
  <c r="AF16" s="1"/>
  <c r="AG16" s="1"/>
  <c r="AH16" s="1"/>
  <c r="AG8"/>
  <c r="AH8" s="1"/>
  <c r="Z7"/>
  <c r="S73"/>
  <c r="U7"/>
  <c r="AG69"/>
  <c r="AH69" s="1"/>
  <c r="Z14"/>
  <c r="AF14" s="1"/>
  <c r="U14"/>
  <c r="X118" i="882"/>
  <c r="U8"/>
  <c r="AG8" s="1"/>
  <c r="AH8" s="1"/>
  <c r="U13"/>
  <c r="U26"/>
  <c r="AG26" s="1"/>
  <c r="AH26" s="1"/>
  <c r="Z27"/>
  <c r="AF27" s="1"/>
  <c r="U28"/>
  <c r="U41"/>
  <c r="AG41" s="1"/>
  <c r="AH41" s="1"/>
  <c r="U46"/>
  <c r="U49"/>
  <c r="AG49" s="1"/>
  <c r="AH49" s="1"/>
  <c r="U50"/>
  <c r="AG50" s="1"/>
  <c r="AH50" s="1"/>
  <c r="Z51"/>
  <c r="AF51" s="1"/>
  <c r="AG51" s="1"/>
  <c r="AH51" s="1"/>
  <c r="Z52"/>
  <c r="AF52" s="1"/>
  <c r="U64"/>
  <c r="U67"/>
  <c r="AG67" s="1"/>
  <c r="AH67" s="1"/>
  <c r="U22"/>
  <c r="AG22" s="1"/>
  <c r="AH22" s="1"/>
  <c r="U34"/>
  <c r="AG34" s="1"/>
  <c r="AH34" s="1"/>
  <c r="U42"/>
  <c r="U47"/>
  <c r="AG47" s="1"/>
  <c r="AH47" s="1"/>
  <c r="U55"/>
  <c r="AG55" s="1"/>
  <c r="AH55" s="1"/>
  <c r="Q73"/>
  <c r="E74" s="1"/>
  <c r="U19"/>
  <c r="AG19" s="1"/>
  <c r="AH19" s="1"/>
  <c r="U20"/>
  <c r="AG20" s="1"/>
  <c r="AH20" s="1"/>
  <c r="U33"/>
  <c r="AG33" s="1"/>
  <c r="AH33" s="1"/>
  <c r="U59"/>
  <c r="U62"/>
  <c r="AG62" s="1"/>
  <c r="AH62" s="1"/>
  <c r="U68"/>
  <c r="AG68" s="1"/>
  <c r="AH68" s="1"/>
  <c r="U69"/>
  <c r="AG69" s="1"/>
  <c r="AH69" s="1"/>
  <c r="AG30"/>
  <c r="AH30" s="1"/>
  <c r="AG42"/>
  <c r="AH42" s="1"/>
  <c r="AG46"/>
  <c r="AH46" s="1"/>
  <c r="AG56"/>
  <c r="AH56" s="1"/>
  <c r="AG59"/>
  <c r="AH59" s="1"/>
  <c r="AG60"/>
  <c r="AH60" s="1"/>
  <c r="AG9"/>
  <c r="AH9" s="1"/>
  <c r="AG10"/>
  <c r="AH10" s="1"/>
  <c r="Z14"/>
  <c r="AF14" s="1"/>
  <c r="AG14" s="1"/>
  <c r="AH14" s="1"/>
  <c r="Z15"/>
  <c r="AF15" s="1"/>
  <c r="AG15" s="1"/>
  <c r="AH15" s="1"/>
  <c r="Z23"/>
  <c r="AF23" s="1"/>
  <c r="AG23" s="1"/>
  <c r="AH23" s="1"/>
  <c r="Z24"/>
  <c r="AF24" s="1"/>
  <c r="AG24" s="1"/>
  <c r="AH24" s="1"/>
  <c r="Z29"/>
  <c r="AF29" s="1"/>
  <c r="AG29" s="1"/>
  <c r="AH29" s="1"/>
  <c r="Z30"/>
  <c r="AF30" s="1"/>
  <c r="AG35"/>
  <c r="AH35" s="1"/>
  <c r="AG52"/>
  <c r="AH52" s="1"/>
  <c r="AG64"/>
  <c r="AH64" s="1"/>
  <c r="U12"/>
  <c r="AG12" s="1"/>
  <c r="AH12" s="1"/>
  <c r="U39"/>
  <c r="AG39" s="1"/>
  <c r="AH39" s="1"/>
  <c r="U40"/>
  <c r="AG40" s="1"/>
  <c r="AH40" s="1"/>
  <c r="U45"/>
  <c r="U54"/>
  <c r="AG54" s="1"/>
  <c r="AH54" s="1"/>
  <c r="AG13"/>
  <c r="AH13" s="1"/>
  <c r="AG28"/>
  <c r="AH28" s="1"/>
  <c r="AG27"/>
  <c r="AH27" s="1"/>
  <c r="AG63"/>
  <c r="AH63" s="1"/>
  <c r="U36"/>
  <c r="Z36"/>
  <c r="AF36" s="1"/>
  <c r="AG45"/>
  <c r="AH45" s="1"/>
  <c r="Z57"/>
  <c r="AF57" s="1"/>
  <c r="AG57" s="1"/>
  <c r="AH57" s="1"/>
  <c r="Z7"/>
  <c r="Z11"/>
  <c r="AF11" s="1"/>
  <c r="AG11" s="1"/>
  <c r="AH11" s="1"/>
  <c r="Z16"/>
  <c r="AF16" s="1"/>
  <c r="AG16" s="1"/>
  <c r="AH16" s="1"/>
  <c r="Z21"/>
  <c r="AF21" s="1"/>
  <c r="AG21" s="1"/>
  <c r="AH21" s="1"/>
  <c r="Z25"/>
  <c r="AF25" s="1"/>
  <c r="AG25" s="1"/>
  <c r="AH25" s="1"/>
  <c r="Z31"/>
  <c r="AF31" s="1"/>
  <c r="AG31" s="1"/>
  <c r="AH31" s="1"/>
  <c r="Z32"/>
  <c r="AF32" s="1"/>
  <c r="AG32" s="1"/>
  <c r="AH32" s="1"/>
  <c r="Z37"/>
  <c r="AF37" s="1"/>
  <c r="AG37" s="1"/>
  <c r="AH37" s="1"/>
  <c r="Z38"/>
  <c r="AF38" s="1"/>
  <c r="AG38" s="1"/>
  <c r="AH38" s="1"/>
  <c r="Z44"/>
  <c r="AF44" s="1"/>
  <c r="AG44" s="1"/>
  <c r="AH44" s="1"/>
  <c r="Z48"/>
  <c r="AF48" s="1"/>
  <c r="AG48" s="1"/>
  <c r="AH48" s="1"/>
  <c r="Z53"/>
  <c r="AF53" s="1"/>
  <c r="AG53" s="1"/>
  <c r="AH53" s="1"/>
  <c r="Z61"/>
  <c r="AF61" s="1"/>
  <c r="AG61" s="1"/>
  <c r="AH61" s="1"/>
  <c r="Z65"/>
  <c r="AF65" s="1"/>
  <c r="AG65" s="1"/>
  <c r="AH65" s="1"/>
  <c r="Z70"/>
  <c r="AF70" s="1"/>
  <c r="AG70" s="1"/>
  <c r="AH70" s="1"/>
  <c r="Z71"/>
  <c r="AF71" s="1"/>
  <c r="AG71" s="1"/>
  <c r="AH71" s="1"/>
  <c r="S73"/>
  <c r="X118" i="881"/>
  <c r="U38"/>
  <c r="AG38" s="1"/>
  <c r="AH38" s="1"/>
  <c r="R73"/>
  <c r="D76" s="1"/>
  <c r="S71"/>
  <c r="Z71" s="1"/>
  <c r="AF71" s="1"/>
  <c r="U20"/>
  <c r="AG20" s="1"/>
  <c r="AH20" s="1"/>
  <c r="U30"/>
  <c r="AG30" s="1"/>
  <c r="AH30" s="1"/>
  <c r="Q73"/>
  <c r="E74" s="1"/>
  <c r="Z40"/>
  <c r="AF40" s="1"/>
  <c r="Z9"/>
  <c r="AF9" s="1"/>
  <c r="Z10"/>
  <c r="AF10" s="1"/>
  <c r="AG10" s="1"/>
  <c r="AH10" s="1"/>
  <c r="U13"/>
  <c r="AG13" s="1"/>
  <c r="AH13" s="1"/>
  <c r="U21"/>
  <c r="Z24"/>
  <c r="AF24" s="1"/>
  <c r="U31"/>
  <c r="AG31" s="1"/>
  <c r="AH31" s="1"/>
  <c r="U36"/>
  <c r="AG36" s="1"/>
  <c r="AH36" s="1"/>
  <c r="Z39"/>
  <c r="AF39" s="1"/>
  <c r="U49"/>
  <c r="U50"/>
  <c r="AG50" s="1"/>
  <c r="AH50" s="1"/>
  <c r="Z51"/>
  <c r="AF51" s="1"/>
  <c r="AG51" s="1"/>
  <c r="AH51" s="1"/>
  <c r="Z52"/>
  <c r="AF52" s="1"/>
  <c r="AG52" s="1"/>
  <c r="AH52" s="1"/>
  <c r="U62"/>
  <c r="Z63"/>
  <c r="AF63" s="1"/>
  <c r="AG63" s="1"/>
  <c r="AH63" s="1"/>
  <c r="Z64"/>
  <c r="AF64" s="1"/>
  <c r="AG64" s="1"/>
  <c r="AH64" s="1"/>
  <c r="AG24"/>
  <c r="AH24" s="1"/>
  <c r="Z25"/>
  <c r="AF25" s="1"/>
  <c r="AG25" s="1"/>
  <c r="AH25" s="1"/>
  <c r="AG39"/>
  <c r="AH39" s="1"/>
  <c r="AG21"/>
  <c r="AH21" s="1"/>
  <c r="AG15"/>
  <c r="AH15" s="1"/>
  <c r="AG16"/>
  <c r="AH16" s="1"/>
  <c r="AG9"/>
  <c r="AH9" s="1"/>
  <c r="Z42"/>
  <c r="AF42" s="1"/>
  <c r="AG42" s="1"/>
  <c r="AH42" s="1"/>
  <c r="U45"/>
  <c r="AG45" s="1"/>
  <c r="AH45" s="1"/>
  <c r="Z46"/>
  <c r="AF46" s="1"/>
  <c r="AG46" s="1"/>
  <c r="AH46" s="1"/>
  <c r="Z47"/>
  <c r="AF47" s="1"/>
  <c r="AG47" s="1"/>
  <c r="AH47" s="1"/>
  <c r="U54"/>
  <c r="AG54" s="1"/>
  <c r="AH54" s="1"/>
  <c r="Z55"/>
  <c r="AF55" s="1"/>
  <c r="Z56"/>
  <c r="AF56" s="1"/>
  <c r="AG56" s="1"/>
  <c r="AH56" s="1"/>
  <c r="Z59"/>
  <c r="AF59" s="1"/>
  <c r="AG59" s="1"/>
  <c r="AH59" s="1"/>
  <c r="Z60"/>
  <c r="AF60" s="1"/>
  <c r="AG60" s="1"/>
  <c r="AH60" s="1"/>
  <c r="Z69"/>
  <c r="AF69" s="1"/>
  <c r="AG69" s="1"/>
  <c r="AH69" s="1"/>
  <c r="Z70"/>
  <c r="AF70" s="1"/>
  <c r="AG70" s="1"/>
  <c r="AH70" s="1"/>
  <c r="AG7"/>
  <c r="AH7" s="1"/>
  <c r="AG40"/>
  <c r="AH40" s="1"/>
  <c r="U12"/>
  <c r="AG12" s="1"/>
  <c r="AH12" s="1"/>
  <c r="U19"/>
  <c r="AG19" s="1"/>
  <c r="AH19" s="1"/>
  <c r="U27"/>
  <c r="AG27" s="1"/>
  <c r="AH27" s="1"/>
  <c r="U28"/>
  <c r="AG28" s="1"/>
  <c r="AH28" s="1"/>
  <c r="U29"/>
  <c r="AG29" s="1"/>
  <c r="AH29" s="1"/>
  <c r="U34"/>
  <c r="AG34" s="1"/>
  <c r="AH34" s="1"/>
  <c r="U67"/>
  <c r="AG67" s="1"/>
  <c r="AH67" s="1"/>
  <c r="U41"/>
  <c r="Z41"/>
  <c r="AF41" s="1"/>
  <c r="AG55"/>
  <c r="AH55" s="1"/>
  <c r="AG35"/>
  <c r="AH35" s="1"/>
  <c r="AG49"/>
  <c r="AH49" s="1"/>
  <c r="AG62"/>
  <c r="AH62" s="1"/>
  <c r="AG68"/>
  <c r="AH68" s="1"/>
  <c r="U14"/>
  <c r="Z14"/>
  <c r="AF14" s="1"/>
  <c r="Z8"/>
  <c r="AF8" s="1"/>
  <c r="U8"/>
  <c r="U32"/>
  <c r="Z32"/>
  <c r="AF32" s="1"/>
  <c r="AG23"/>
  <c r="AH23" s="1"/>
  <c r="C73"/>
  <c r="U11"/>
  <c r="AG11" s="1"/>
  <c r="AH11" s="1"/>
  <c r="U17"/>
  <c r="AG17" s="1"/>
  <c r="AH17" s="1"/>
  <c r="U22"/>
  <c r="AG22" s="1"/>
  <c r="AH22" s="1"/>
  <c r="U26"/>
  <c r="AG26" s="1"/>
  <c r="AH26" s="1"/>
  <c r="U33"/>
  <c r="AG33" s="1"/>
  <c r="AH33" s="1"/>
  <c r="U37"/>
  <c r="AG37" s="1"/>
  <c r="AH37" s="1"/>
  <c r="U44"/>
  <c r="AG44" s="1"/>
  <c r="AH44" s="1"/>
  <c r="U48"/>
  <c r="AG48" s="1"/>
  <c r="AH48" s="1"/>
  <c r="U53"/>
  <c r="AG53" s="1"/>
  <c r="AH53" s="1"/>
  <c r="U61"/>
  <c r="AG61" s="1"/>
  <c r="AH61" s="1"/>
  <c r="U65"/>
  <c r="AG65" s="1"/>
  <c r="AH65" s="1"/>
  <c r="D73"/>
  <c r="E75" s="1"/>
  <c r="Z57"/>
  <c r="AF57" s="1"/>
  <c r="AG57" s="1"/>
  <c r="AH57" s="1"/>
  <c r="S32" i="880"/>
  <c r="Z32" s="1"/>
  <c r="AF32" s="1"/>
  <c r="S8"/>
  <c r="Z8" s="1"/>
  <c r="AF8" s="1"/>
  <c r="R73"/>
  <c r="D76" s="1"/>
  <c r="U7"/>
  <c r="S14"/>
  <c r="U14" s="1"/>
  <c r="U8"/>
  <c r="AG8" s="1"/>
  <c r="AH8" s="1"/>
  <c r="U49"/>
  <c r="Z10"/>
  <c r="AF10" s="1"/>
  <c r="AG10" s="1"/>
  <c r="AH10" s="1"/>
  <c r="U9"/>
  <c r="AG9" s="1"/>
  <c r="AH9" s="1"/>
  <c r="U30"/>
  <c r="U33"/>
  <c r="AG33" s="1"/>
  <c r="AH33" s="1"/>
  <c r="U38"/>
  <c r="U47"/>
  <c r="AG47" s="1"/>
  <c r="AH47" s="1"/>
  <c r="U64"/>
  <c r="AG64" s="1"/>
  <c r="AH64" s="1"/>
  <c r="AG13"/>
  <c r="AH13" s="1"/>
  <c r="AG20"/>
  <c r="AH20" s="1"/>
  <c r="AG21"/>
  <c r="AH21" s="1"/>
  <c r="AG30"/>
  <c r="AH30" s="1"/>
  <c r="AG31"/>
  <c r="AH31" s="1"/>
  <c r="AG38"/>
  <c r="AH38" s="1"/>
  <c r="AG39"/>
  <c r="AH39" s="1"/>
  <c r="AG53"/>
  <c r="AH53" s="1"/>
  <c r="AG54"/>
  <c r="AH54" s="1"/>
  <c r="AG16"/>
  <c r="AH16" s="1"/>
  <c r="Z44"/>
  <c r="AF44" s="1"/>
  <c r="AG44" s="1"/>
  <c r="AH44" s="1"/>
  <c r="U12"/>
  <c r="U19"/>
  <c r="U27"/>
  <c r="AG27" s="1"/>
  <c r="AH27" s="1"/>
  <c r="U28"/>
  <c r="AG28" s="1"/>
  <c r="AH28" s="1"/>
  <c r="U29"/>
  <c r="AG29" s="1"/>
  <c r="AH29" s="1"/>
  <c r="U37"/>
  <c r="U45"/>
  <c r="AG45" s="1"/>
  <c r="AH45" s="1"/>
  <c r="U52"/>
  <c r="AG52" s="1"/>
  <c r="AH52" s="1"/>
  <c r="U65"/>
  <c r="AG49"/>
  <c r="AH49" s="1"/>
  <c r="AG62"/>
  <c r="AH62" s="1"/>
  <c r="AG25"/>
  <c r="AH25" s="1"/>
  <c r="AG35"/>
  <c r="AH35" s="1"/>
  <c r="AG67"/>
  <c r="AH67" s="1"/>
  <c r="U71"/>
  <c r="Z71"/>
  <c r="AF71" s="1"/>
  <c r="AF7"/>
  <c r="AG15"/>
  <c r="AH15" s="1"/>
  <c r="AG61"/>
  <c r="AH61" s="1"/>
  <c r="AG24"/>
  <c r="AH24" s="1"/>
  <c r="AG34"/>
  <c r="AH34" s="1"/>
  <c r="AG12"/>
  <c r="AH12" s="1"/>
  <c r="AG19"/>
  <c r="AH19" s="1"/>
  <c r="AG37"/>
  <c r="AH37" s="1"/>
  <c r="AG65"/>
  <c r="AH65" s="1"/>
  <c r="AG48"/>
  <c r="AH48" s="1"/>
  <c r="D73"/>
  <c r="E75" s="1"/>
  <c r="U11"/>
  <c r="AG11" s="1"/>
  <c r="AH11" s="1"/>
  <c r="U17"/>
  <c r="AG17" s="1"/>
  <c r="AH17" s="1"/>
  <c r="U22"/>
  <c r="AG22" s="1"/>
  <c r="AH22" s="1"/>
  <c r="U26"/>
  <c r="AG26" s="1"/>
  <c r="AH26" s="1"/>
  <c r="U32"/>
  <c r="AG32" s="1"/>
  <c r="AH32" s="1"/>
  <c r="U36"/>
  <c r="AG36" s="1"/>
  <c r="AH36" s="1"/>
  <c r="U41"/>
  <c r="AG41" s="1"/>
  <c r="AH41" s="1"/>
  <c r="U46"/>
  <c r="AG46" s="1"/>
  <c r="AH46" s="1"/>
  <c r="U51"/>
  <c r="AG51" s="1"/>
  <c r="AH51" s="1"/>
  <c r="U55"/>
  <c r="AG55" s="1"/>
  <c r="AH55" s="1"/>
  <c r="U59"/>
  <c r="AG59" s="1"/>
  <c r="AH59" s="1"/>
  <c r="U63"/>
  <c r="AG63" s="1"/>
  <c r="AH63" s="1"/>
  <c r="U68"/>
  <c r="AG68" s="1"/>
  <c r="AH68" s="1"/>
  <c r="U69"/>
  <c r="AG69" s="1"/>
  <c r="AH69" s="1"/>
  <c r="U70"/>
  <c r="AG70" s="1"/>
  <c r="AH70" s="1"/>
  <c r="Z40"/>
  <c r="AF40" s="1"/>
  <c r="AG40" s="1"/>
  <c r="AH40" s="1"/>
  <c r="Z50"/>
  <c r="AF50" s="1"/>
  <c r="AG50" s="1"/>
  <c r="AH50" s="1"/>
  <c r="X145" i="879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R77"/>
  <c r="R80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Z72"/>
  <c r="AF72" s="1"/>
  <c r="AG72" s="1"/>
  <c r="AH72" s="1"/>
  <c r="Q71"/>
  <c r="S71"/>
  <c r="S70"/>
  <c r="Q70"/>
  <c r="Q69"/>
  <c r="D73"/>
  <c r="E75" s="1"/>
  <c r="S68"/>
  <c r="Z68" s="1"/>
  <c r="AF68" s="1"/>
  <c r="Q68"/>
  <c r="S67"/>
  <c r="U67" s="1"/>
  <c r="Q67"/>
  <c r="Z66"/>
  <c r="AF66" s="1"/>
  <c r="AG66" s="1"/>
  <c r="AH66" s="1"/>
  <c r="S65"/>
  <c r="Z65" s="1"/>
  <c r="AF65" s="1"/>
  <c r="Q65"/>
  <c r="S64"/>
  <c r="Z64" s="1"/>
  <c r="AF64" s="1"/>
  <c r="Q64"/>
  <c r="S63"/>
  <c r="Z63" s="1"/>
  <c r="AF63" s="1"/>
  <c r="Q63"/>
  <c r="S62"/>
  <c r="U62" s="1"/>
  <c r="Q62"/>
  <c r="S61"/>
  <c r="U61" s="1"/>
  <c r="Q61"/>
  <c r="U60"/>
  <c r="AG60" s="1"/>
  <c r="AH60" s="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Z57" s="1"/>
  <c r="AF57" s="1"/>
  <c r="Q57"/>
  <c r="S56"/>
  <c r="Z56" s="1"/>
  <c r="AF56" s="1"/>
  <c r="Q56"/>
  <c r="S55"/>
  <c r="Z55" s="1"/>
  <c r="AF55" s="1"/>
  <c r="Q55"/>
  <c r="U54"/>
  <c r="S54"/>
  <c r="Z54" s="1"/>
  <c r="AF54" s="1"/>
  <c r="Q54"/>
  <c r="S53"/>
  <c r="Z53" s="1"/>
  <c r="AF53" s="1"/>
  <c r="Q53"/>
  <c r="S52"/>
  <c r="Z52" s="1"/>
  <c r="AF52" s="1"/>
  <c r="Q52"/>
  <c r="S51"/>
  <c r="Z51" s="1"/>
  <c r="AF51" s="1"/>
  <c r="Q51"/>
  <c r="T50"/>
  <c r="S50"/>
  <c r="U50" s="1"/>
  <c r="Q50"/>
  <c r="Z49"/>
  <c r="AF49" s="1"/>
  <c r="U49"/>
  <c r="S49"/>
  <c r="Q49"/>
  <c r="Z48"/>
  <c r="AF48" s="1"/>
  <c r="U48"/>
  <c r="S48"/>
  <c r="Q48"/>
  <c r="U47"/>
  <c r="AG47" s="1"/>
  <c r="AH47" s="1"/>
  <c r="S47"/>
  <c r="Z47" s="1"/>
  <c r="AF47" s="1"/>
  <c r="Q47"/>
  <c r="S46"/>
  <c r="Z46" s="1"/>
  <c r="AF46" s="1"/>
  <c r="Q46"/>
  <c r="S45"/>
  <c r="Z45" s="1"/>
  <c r="AF45" s="1"/>
  <c r="Q45"/>
  <c r="S44"/>
  <c r="Z44" s="1"/>
  <c r="AF44" s="1"/>
  <c r="Q44"/>
  <c r="AH43"/>
  <c r="AG43"/>
  <c r="AF43"/>
  <c r="Z43"/>
  <c r="U42"/>
  <c r="S42"/>
  <c r="Z42" s="1"/>
  <c r="AF42" s="1"/>
  <c r="Q42"/>
  <c r="S41"/>
  <c r="Z41" s="1"/>
  <c r="AF41" s="1"/>
  <c r="Q41"/>
  <c r="T40"/>
  <c r="S40"/>
  <c r="U40" s="1"/>
  <c r="Q40"/>
  <c r="S39"/>
  <c r="Z39" s="1"/>
  <c r="AF39" s="1"/>
  <c r="Q39"/>
  <c r="Q38"/>
  <c r="S38"/>
  <c r="U37"/>
  <c r="S37"/>
  <c r="Z37" s="1"/>
  <c r="AF37" s="1"/>
  <c r="Q37"/>
  <c r="U36"/>
  <c r="S36"/>
  <c r="Z36" s="1"/>
  <c r="AF36" s="1"/>
  <c r="Q36"/>
  <c r="S35"/>
  <c r="Z35" s="1"/>
  <c r="AF35" s="1"/>
  <c r="Q35"/>
  <c r="S34"/>
  <c r="Z34" s="1"/>
  <c r="AF34" s="1"/>
  <c r="Q34"/>
  <c r="Z33"/>
  <c r="AF33" s="1"/>
  <c r="U33"/>
  <c r="S33"/>
  <c r="Q33"/>
  <c r="S32"/>
  <c r="Z32" s="1"/>
  <c r="AF32" s="1"/>
  <c r="Q32"/>
  <c r="U31"/>
  <c r="S31"/>
  <c r="Z31" s="1"/>
  <c r="AF31" s="1"/>
  <c r="Q31"/>
  <c r="S30"/>
  <c r="Z30" s="1"/>
  <c r="AF30" s="1"/>
  <c r="Q30"/>
  <c r="T29"/>
  <c r="S29"/>
  <c r="U29" s="1"/>
  <c r="Q29"/>
  <c r="T28"/>
  <c r="T73" s="1"/>
  <c r="S28"/>
  <c r="U28" s="1"/>
  <c r="Q28"/>
  <c r="Z27"/>
  <c r="AF27" s="1"/>
  <c r="U27"/>
  <c r="S27"/>
  <c r="Q27"/>
  <c r="Z26"/>
  <c r="AF26" s="1"/>
  <c r="U26"/>
  <c r="S26"/>
  <c r="Q26"/>
  <c r="U25"/>
  <c r="S25"/>
  <c r="Z25" s="1"/>
  <c r="AF25" s="1"/>
  <c r="Q25"/>
  <c r="S24"/>
  <c r="Z24" s="1"/>
  <c r="AF24" s="1"/>
  <c r="Q24"/>
  <c r="U23"/>
  <c r="S23"/>
  <c r="Z23" s="1"/>
  <c r="AF23" s="1"/>
  <c r="Q23"/>
  <c r="U22"/>
  <c r="S22"/>
  <c r="Z22" s="1"/>
  <c r="AF22" s="1"/>
  <c r="Q22"/>
  <c r="S21"/>
  <c r="Z21" s="1"/>
  <c r="AF21" s="1"/>
  <c r="Q21"/>
  <c r="S20"/>
  <c r="Z20" s="1"/>
  <c r="AF20" s="1"/>
  <c r="Q20"/>
  <c r="Z19"/>
  <c r="AF19" s="1"/>
  <c r="U19"/>
  <c r="S19"/>
  <c r="Q19"/>
  <c r="Z18"/>
  <c r="AF18" s="1"/>
  <c r="AG18" s="1"/>
  <c r="AH18" s="1"/>
  <c r="S17"/>
  <c r="Z17" s="1"/>
  <c r="AF17" s="1"/>
  <c r="Q17"/>
  <c r="S16"/>
  <c r="Z16" s="1"/>
  <c r="AF16" s="1"/>
  <c r="Q16"/>
  <c r="S15"/>
  <c r="Z15" s="1"/>
  <c r="AF15" s="1"/>
  <c r="Q15"/>
  <c r="S14"/>
  <c r="Z14" s="1"/>
  <c r="AF14" s="1"/>
  <c r="R73"/>
  <c r="D76" s="1"/>
  <c r="Q14"/>
  <c r="S13"/>
  <c r="Z13" s="1"/>
  <c r="AF13" s="1"/>
  <c r="Q13"/>
  <c r="U12"/>
  <c r="S12"/>
  <c r="Z12" s="1"/>
  <c r="AF12" s="1"/>
  <c r="Q12"/>
  <c r="U11"/>
  <c r="S11"/>
  <c r="Z11" s="1"/>
  <c r="AF11" s="1"/>
  <c r="Q11"/>
  <c r="U10"/>
  <c r="S10"/>
  <c r="Z10" s="1"/>
  <c r="AF10" s="1"/>
  <c r="Q10"/>
  <c r="S9"/>
  <c r="Z9" s="1"/>
  <c r="AF9" s="1"/>
  <c r="Q9"/>
  <c r="S8"/>
  <c r="Z8" s="1"/>
  <c r="AF8" s="1"/>
  <c r="Q8"/>
  <c r="S7"/>
  <c r="Z7" s="1"/>
  <c r="Q7"/>
  <c r="C38" i="878"/>
  <c r="C40"/>
  <c r="R76"/>
  <c r="R75"/>
  <c r="T74" s="1"/>
  <c r="R74"/>
  <c r="R70"/>
  <c r="S70" s="1"/>
  <c r="R71"/>
  <c r="R69"/>
  <c r="R17"/>
  <c r="R11"/>
  <c r="S11" s="1"/>
  <c r="R14"/>
  <c r="S14" s="1"/>
  <c r="Z14" s="1"/>
  <c r="AF14" s="1"/>
  <c r="F77"/>
  <c r="K8"/>
  <c r="D71"/>
  <c r="D69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R77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Z72"/>
  <c r="AF72" s="1"/>
  <c r="AG72" s="1"/>
  <c r="AH72" s="1"/>
  <c r="Q71"/>
  <c r="Q70"/>
  <c r="Q69"/>
  <c r="S68"/>
  <c r="Z68" s="1"/>
  <c r="AF68" s="1"/>
  <c r="Q68"/>
  <c r="Z67"/>
  <c r="AF67" s="1"/>
  <c r="U67"/>
  <c r="S67"/>
  <c r="Q67"/>
  <c r="Z66"/>
  <c r="AF66" s="1"/>
  <c r="AG66" s="1"/>
  <c r="AH66" s="1"/>
  <c r="S65"/>
  <c r="Z65" s="1"/>
  <c r="AF65" s="1"/>
  <c r="Q65"/>
  <c r="S64"/>
  <c r="Z64" s="1"/>
  <c r="AF64" s="1"/>
  <c r="Q64"/>
  <c r="S63"/>
  <c r="Z63" s="1"/>
  <c r="AF63" s="1"/>
  <c r="Q63"/>
  <c r="S62"/>
  <c r="Z62" s="1"/>
  <c r="AF62" s="1"/>
  <c r="Q62"/>
  <c r="U61"/>
  <c r="S61"/>
  <c r="Z61" s="1"/>
  <c r="AF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U57"/>
  <c r="AG57" s="1"/>
  <c r="AH57" s="1"/>
  <c r="T57"/>
  <c r="S57"/>
  <c r="Z57" s="1"/>
  <c r="AF57" s="1"/>
  <c r="Q57"/>
  <c r="U56"/>
  <c r="AG56" s="1"/>
  <c r="AH56" s="1"/>
  <c r="S56"/>
  <c r="Z56" s="1"/>
  <c r="AF56" s="1"/>
  <c r="Q56"/>
  <c r="S55"/>
  <c r="Z55" s="1"/>
  <c r="AF55" s="1"/>
  <c r="Q55"/>
  <c r="S54"/>
  <c r="Z54" s="1"/>
  <c r="AF54" s="1"/>
  <c r="Q54"/>
  <c r="S53"/>
  <c r="Z53" s="1"/>
  <c r="AF53" s="1"/>
  <c r="Q53"/>
  <c r="U52"/>
  <c r="AG52" s="1"/>
  <c r="AH52" s="1"/>
  <c r="S52"/>
  <c r="Z52" s="1"/>
  <c r="AF52" s="1"/>
  <c r="Q52"/>
  <c r="S51"/>
  <c r="Z51" s="1"/>
  <c r="AF51" s="1"/>
  <c r="Q51"/>
  <c r="T50"/>
  <c r="S50"/>
  <c r="U50" s="1"/>
  <c r="Q50"/>
  <c r="U49"/>
  <c r="S49"/>
  <c r="Z49" s="1"/>
  <c r="AF49" s="1"/>
  <c r="Q49"/>
  <c r="U48"/>
  <c r="S48"/>
  <c r="Z48" s="1"/>
  <c r="AF48" s="1"/>
  <c r="Q48"/>
  <c r="S47"/>
  <c r="Z47" s="1"/>
  <c r="AF47" s="1"/>
  <c r="Q47"/>
  <c r="S46"/>
  <c r="Z46" s="1"/>
  <c r="AF46" s="1"/>
  <c r="Q46"/>
  <c r="AF45"/>
  <c r="Z45"/>
  <c r="U45"/>
  <c r="S45"/>
  <c r="Q45"/>
  <c r="Z44"/>
  <c r="AF44" s="1"/>
  <c r="U44"/>
  <c r="S44"/>
  <c r="Q44"/>
  <c r="AH43"/>
  <c r="AG43"/>
  <c r="AF43"/>
  <c r="Z43"/>
  <c r="U42"/>
  <c r="AG42" s="1"/>
  <c r="AH42" s="1"/>
  <c r="S42"/>
  <c r="Z42" s="1"/>
  <c r="AF42" s="1"/>
  <c r="Q42"/>
  <c r="S41"/>
  <c r="Z41" s="1"/>
  <c r="AF41" s="1"/>
  <c r="Q41"/>
  <c r="T40"/>
  <c r="S40"/>
  <c r="U40" s="1"/>
  <c r="Q40"/>
  <c r="S39"/>
  <c r="Z39" s="1"/>
  <c r="AF39" s="1"/>
  <c r="Q39"/>
  <c r="S38"/>
  <c r="Z38" s="1"/>
  <c r="AF38" s="1"/>
  <c r="Q38"/>
  <c r="U37"/>
  <c r="AG37" s="1"/>
  <c r="AH37" s="1"/>
  <c r="S37"/>
  <c r="Z37" s="1"/>
  <c r="AF37" s="1"/>
  <c r="Q37"/>
  <c r="S36"/>
  <c r="Z36" s="1"/>
  <c r="AF36" s="1"/>
  <c r="Q36"/>
  <c r="S35"/>
  <c r="Z35" s="1"/>
  <c r="AF35" s="1"/>
  <c r="Q35"/>
  <c r="S34"/>
  <c r="Z34" s="1"/>
  <c r="AF34" s="1"/>
  <c r="Q34"/>
  <c r="U33"/>
  <c r="AG33" s="1"/>
  <c r="AH33" s="1"/>
  <c r="S33"/>
  <c r="Z33" s="1"/>
  <c r="AF33" s="1"/>
  <c r="Q33"/>
  <c r="S32"/>
  <c r="Z32" s="1"/>
  <c r="AF32" s="1"/>
  <c r="Q32"/>
  <c r="S31"/>
  <c r="Z31" s="1"/>
  <c r="AF31" s="1"/>
  <c r="Q31"/>
  <c r="S30"/>
  <c r="Z30" s="1"/>
  <c r="AF30" s="1"/>
  <c r="Q30"/>
  <c r="T29"/>
  <c r="S29"/>
  <c r="Z29" s="1"/>
  <c r="AF29" s="1"/>
  <c r="Q29"/>
  <c r="T28"/>
  <c r="T73" s="1"/>
  <c r="S28"/>
  <c r="Z28" s="1"/>
  <c r="AF28" s="1"/>
  <c r="Q28"/>
  <c r="U27"/>
  <c r="AG27" s="1"/>
  <c r="AH27" s="1"/>
  <c r="S27"/>
  <c r="Z27" s="1"/>
  <c r="AF27" s="1"/>
  <c r="Q27"/>
  <c r="S26"/>
  <c r="Z26" s="1"/>
  <c r="AF26" s="1"/>
  <c r="Q26"/>
  <c r="S25"/>
  <c r="Z25" s="1"/>
  <c r="AF25" s="1"/>
  <c r="Q25"/>
  <c r="S24"/>
  <c r="Z24" s="1"/>
  <c r="AF24" s="1"/>
  <c r="Q24"/>
  <c r="U23"/>
  <c r="AG23" s="1"/>
  <c r="AH23" s="1"/>
  <c r="S23"/>
  <c r="Z23" s="1"/>
  <c r="AF23" s="1"/>
  <c r="Q23"/>
  <c r="S22"/>
  <c r="Z22" s="1"/>
  <c r="AF22" s="1"/>
  <c r="Q22"/>
  <c r="S21"/>
  <c r="Z21" s="1"/>
  <c r="AF21" s="1"/>
  <c r="Q21"/>
  <c r="S20"/>
  <c r="Z20" s="1"/>
  <c r="AF20" s="1"/>
  <c r="Q20"/>
  <c r="S19"/>
  <c r="Z19" s="1"/>
  <c r="AF19" s="1"/>
  <c r="Q19"/>
  <c r="AG18"/>
  <c r="AH18" s="1"/>
  <c r="AF18"/>
  <c r="Z18"/>
  <c r="S17"/>
  <c r="Z17" s="1"/>
  <c r="AF17" s="1"/>
  <c r="Q17"/>
  <c r="U16"/>
  <c r="AG16" s="1"/>
  <c r="AH16" s="1"/>
  <c r="S16"/>
  <c r="Z16" s="1"/>
  <c r="AF16" s="1"/>
  <c r="Q16"/>
  <c r="S15"/>
  <c r="Z15" s="1"/>
  <c r="AF15" s="1"/>
  <c r="Q15"/>
  <c r="Q14"/>
  <c r="U13"/>
  <c r="S13"/>
  <c r="Z13" s="1"/>
  <c r="AF13" s="1"/>
  <c r="Q13"/>
  <c r="S12"/>
  <c r="Z12" s="1"/>
  <c r="AF12" s="1"/>
  <c r="Q12"/>
  <c r="Q11"/>
  <c r="S10"/>
  <c r="Z10" s="1"/>
  <c r="AF10" s="1"/>
  <c r="Q10"/>
  <c r="Z9"/>
  <c r="AF9" s="1"/>
  <c r="U9"/>
  <c r="S9"/>
  <c r="Q9"/>
  <c r="Z8"/>
  <c r="AF8" s="1"/>
  <c r="S8"/>
  <c r="U8" s="1"/>
  <c r="Q8"/>
  <c r="S7"/>
  <c r="Z7" s="1"/>
  <c r="Q7"/>
  <c r="C16" i="877"/>
  <c r="S16" s="1"/>
  <c r="C11"/>
  <c r="R76"/>
  <c r="R75"/>
  <c r="T74" s="1"/>
  <c r="R74"/>
  <c r="R17"/>
  <c r="R8"/>
  <c r="R7"/>
  <c r="R14"/>
  <c r="R11"/>
  <c r="S8"/>
  <c r="Z8" s="1"/>
  <c r="AF8" s="1"/>
  <c r="R70"/>
  <c r="S70" s="1"/>
  <c r="D17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R93"/>
  <c r="X92"/>
  <c r="X91"/>
  <c r="X90"/>
  <c r="X89"/>
  <c r="X88"/>
  <c r="X87"/>
  <c r="X80"/>
  <c r="F77"/>
  <c r="R77" s="1"/>
  <c r="R80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Z72"/>
  <c r="AF72" s="1"/>
  <c r="AG72" s="1"/>
  <c r="AH72" s="1"/>
  <c r="G73"/>
  <c r="S71"/>
  <c r="Q70"/>
  <c r="Q69"/>
  <c r="S69"/>
  <c r="S68"/>
  <c r="Z68" s="1"/>
  <c r="AF68" s="1"/>
  <c r="Q68"/>
  <c r="S67"/>
  <c r="U67" s="1"/>
  <c r="Q67"/>
  <c r="AF66"/>
  <c r="AG66" s="1"/>
  <c r="AH66" s="1"/>
  <c r="Z66"/>
  <c r="S65"/>
  <c r="U65" s="1"/>
  <c r="Q65"/>
  <c r="S64"/>
  <c r="Z64" s="1"/>
  <c r="AF64" s="1"/>
  <c r="Q64"/>
  <c r="U63"/>
  <c r="AG63" s="1"/>
  <c r="AH63" s="1"/>
  <c r="S63"/>
  <c r="Z63" s="1"/>
  <c r="AF63" s="1"/>
  <c r="Q63"/>
  <c r="S62"/>
  <c r="U62" s="1"/>
  <c r="Q62"/>
  <c r="S61"/>
  <c r="U61" s="1"/>
  <c r="Q61"/>
  <c r="S60"/>
  <c r="Z60" s="1"/>
  <c r="AF60" s="1"/>
  <c r="Q60"/>
  <c r="S59"/>
  <c r="Z59" s="1"/>
  <c r="AF59" s="1"/>
  <c r="Q59"/>
  <c r="AG58"/>
  <c r="AH58" s="1"/>
  <c r="AF58"/>
  <c r="Z58"/>
  <c r="U58"/>
  <c r="Q58"/>
  <c r="T57"/>
  <c r="S57"/>
  <c r="Z57" s="1"/>
  <c r="AF57" s="1"/>
  <c r="Q57"/>
  <c r="U56"/>
  <c r="S56"/>
  <c r="Z56" s="1"/>
  <c r="AF56" s="1"/>
  <c r="Q56"/>
  <c r="S55"/>
  <c r="Z55" s="1"/>
  <c r="AF55" s="1"/>
  <c r="Q55"/>
  <c r="S54"/>
  <c r="U54" s="1"/>
  <c r="Q54"/>
  <c r="Z53"/>
  <c r="AF53" s="1"/>
  <c r="S53"/>
  <c r="U53" s="1"/>
  <c r="Q53"/>
  <c r="U52"/>
  <c r="S52"/>
  <c r="Z52" s="1"/>
  <c r="AF52" s="1"/>
  <c r="Q52"/>
  <c r="S51"/>
  <c r="Z51" s="1"/>
  <c r="AF51" s="1"/>
  <c r="Q51"/>
  <c r="T50"/>
  <c r="S50"/>
  <c r="U50" s="1"/>
  <c r="Q50"/>
  <c r="S49"/>
  <c r="U49" s="1"/>
  <c r="Q49"/>
  <c r="Z48"/>
  <c r="AF48" s="1"/>
  <c r="S48"/>
  <c r="U48" s="1"/>
  <c r="Q48"/>
  <c r="U47"/>
  <c r="S47"/>
  <c r="Z47" s="1"/>
  <c r="AF47" s="1"/>
  <c r="Q47"/>
  <c r="S46"/>
  <c r="Z46" s="1"/>
  <c r="AF46" s="1"/>
  <c r="Q46"/>
  <c r="S45"/>
  <c r="U45" s="1"/>
  <c r="Q45"/>
  <c r="AF44"/>
  <c r="Z44"/>
  <c r="S44"/>
  <c r="U44" s="1"/>
  <c r="Q44"/>
  <c r="Z43"/>
  <c r="AF43" s="1"/>
  <c r="AG43" s="1"/>
  <c r="AH43" s="1"/>
  <c r="S42"/>
  <c r="Z42" s="1"/>
  <c r="AF42" s="1"/>
  <c r="Q42"/>
  <c r="S41"/>
  <c r="Z41" s="1"/>
  <c r="AF41" s="1"/>
  <c r="Q41"/>
  <c r="T40"/>
  <c r="S40"/>
  <c r="U40" s="1"/>
  <c r="Q40"/>
  <c r="S39"/>
  <c r="U39" s="1"/>
  <c r="Q39"/>
  <c r="S38"/>
  <c r="U38" s="1"/>
  <c r="Q38"/>
  <c r="S37"/>
  <c r="Z37" s="1"/>
  <c r="AF37" s="1"/>
  <c r="Q37"/>
  <c r="S36"/>
  <c r="Z36" s="1"/>
  <c r="AF36" s="1"/>
  <c r="Q36"/>
  <c r="S35"/>
  <c r="U35" s="1"/>
  <c r="Q35"/>
  <c r="Z34"/>
  <c r="AF34" s="1"/>
  <c r="S34"/>
  <c r="U34" s="1"/>
  <c r="Q34"/>
  <c r="S33"/>
  <c r="Z33" s="1"/>
  <c r="AF33" s="1"/>
  <c r="Q33"/>
  <c r="S32"/>
  <c r="Z32" s="1"/>
  <c r="AF32" s="1"/>
  <c r="Q32"/>
  <c r="S31"/>
  <c r="Z31" s="1"/>
  <c r="AF31" s="1"/>
  <c r="Q31"/>
  <c r="S30"/>
  <c r="Z30" s="1"/>
  <c r="AF30" s="1"/>
  <c r="Q30"/>
  <c r="T29"/>
  <c r="S29"/>
  <c r="U29" s="1"/>
  <c r="Q29"/>
  <c r="T28"/>
  <c r="T73" s="1"/>
  <c r="S28"/>
  <c r="U28" s="1"/>
  <c r="Q28"/>
  <c r="S27"/>
  <c r="U27" s="1"/>
  <c r="Q27"/>
  <c r="S26"/>
  <c r="U26" s="1"/>
  <c r="Q26"/>
  <c r="S25"/>
  <c r="Z25" s="1"/>
  <c r="AF25" s="1"/>
  <c r="Q25"/>
  <c r="U24"/>
  <c r="AG24" s="1"/>
  <c r="AH24" s="1"/>
  <c r="S24"/>
  <c r="Z24" s="1"/>
  <c r="AF24" s="1"/>
  <c r="Q24"/>
  <c r="S23"/>
  <c r="U23" s="1"/>
  <c r="Q23"/>
  <c r="S22"/>
  <c r="U22" s="1"/>
  <c r="Q22"/>
  <c r="U21"/>
  <c r="S21"/>
  <c r="Z21" s="1"/>
  <c r="AF21" s="1"/>
  <c r="Q21"/>
  <c r="S20"/>
  <c r="Z20" s="1"/>
  <c r="AF20" s="1"/>
  <c r="Q20"/>
  <c r="S19"/>
  <c r="U19" s="1"/>
  <c r="Q19"/>
  <c r="AF18"/>
  <c r="AG18" s="1"/>
  <c r="AH18" s="1"/>
  <c r="Z18"/>
  <c r="Q17"/>
  <c r="Q16"/>
  <c r="S15"/>
  <c r="U15" s="1"/>
  <c r="Q15"/>
  <c r="S14"/>
  <c r="Q14"/>
  <c r="S13"/>
  <c r="U13" s="1"/>
  <c r="Q13"/>
  <c r="S12"/>
  <c r="U12" s="1"/>
  <c r="Q12"/>
  <c r="Q11"/>
  <c r="AF10"/>
  <c r="Z10"/>
  <c r="S10"/>
  <c r="U10" s="1"/>
  <c r="Q10"/>
  <c r="Z9"/>
  <c r="AF9" s="1"/>
  <c r="U9"/>
  <c r="S9"/>
  <c r="Q9"/>
  <c r="Q8"/>
  <c r="S7"/>
  <c r="U7" s="1"/>
  <c r="Q7"/>
  <c r="C16" i="876"/>
  <c r="C11"/>
  <c r="C69"/>
  <c r="C71"/>
  <c r="R93"/>
  <c r="R76"/>
  <c r="R75"/>
  <c r="R74"/>
  <c r="F77"/>
  <c r="R71"/>
  <c r="R32"/>
  <c r="R31"/>
  <c r="R69"/>
  <c r="S69" s="1"/>
  <c r="R14"/>
  <c r="R17"/>
  <c r="R16"/>
  <c r="R8"/>
  <c r="S8" s="1"/>
  <c r="R11"/>
  <c r="S71"/>
  <c r="G69"/>
  <c r="G71"/>
  <c r="D70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AH72"/>
  <c r="AG72"/>
  <c r="AF72"/>
  <c r="Z72"/>
  <c r="Q71"/>
  <c r="Q70"/>
  <c r="S70"/>
  <c r="Q69"/>
  <c r="AF68"/>
  <c r="Z68"/>
  <c r="S68"/>
  <c r="U68" s="1"/>
  <c r="Q68"/>
  <c r="Z67"/>
  <c r="AF67" s="1"/>
  <c r="U67"/>
  <c r="S67"/>
  <c r="Q67"/>
  <c r="Z66"/>
  <c r="AF66" s="1"/>
  <c r="AG66" s="1"/>
  <c r="AH66" s="1"/>
  <c r="S65"/>
  <c r="U65" s="1"/>
  <c r="Q65"/>
  <c r="U64"/>
  <c r="AG64" s="1"/>
  <c r="AH64" s="1"/>
  <c r="S64"/>
  <c r="Z64" s="1"/>
  <c r="AF64" s="1"/>
  <c r="Q64"/>
  <c r="S63"/>
  <c r="Z63" s="1"/>
  <c r="AF63" s="1"/>
  <c r="Q63"/>
  <c r="Z62"/>
  <c r="AF62" s="1"/>
  <c r="S62"/>
  <c r="U62" s="1"/>
  <c r="Q62"/>
  <c r="Z61"/>
  <c r="AF61" s="1"/>
  <c r="S61"/>
  <c r="U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Z57" s="1"/>
  <c r="AF57" s="1"/>
  <c r="Q57"/>
  <c r="S56"/>
  <c r="Z56" s="1"/>
  <c r="AF56" s="1"/>
  <c r="Q56"/>
  <c r="S55"/>
  <c r="Z55" s="1"/>
  <c r="AF55" s="1"/>
  <c r="Q55"/>
  <c r="S54"/>
  <c r="Z54" s="1"/>
  <c r="AF54" s="1"/>
  <c r="Q54"/>
  <c r="S53"/>
  <c r="Z53" s="1"/>
  <c r="AF53" s="1"/>
  <c r="Q53"/>
  <c r="S52"/>
  <c r="Z52" s="1"/>
  <c r="AF52" s="1"/>
  <c r="Q52"/>
  <c r="S51"/>
  <c r="Z51" s="1"/>
  <c r="AF51" s="1"/>
  <c r="Q51"/>
  <c r="T50"/>
  <c r="S50"/>
  <c r="U50" s="1"/>
  <c r="Q50"/>
  <c r="S49"/>
  <c r="Z49" s="1"/>
  <c r="AF49" s="1"/>
  <c r="Q49"/>
  <c r="S48"/>
  <c r="Z48" s="1"/>
  <c r="AF48" s="1"/>
  <c r="Q48"/>
  <c r="S47"/>
  <c r="Z47" s="1"/>
  <c r="AF47" s="1"/>
  <c r="Q47"/>
  <c r="S46"/>
  <c r="Z46" s="1"/>
  <c r="AF46" s="1"/>
  <c r="Q46"/>
  <c r="S45"/>
  <c r="Z45" s="1"/>
  <c r="AF45" s="1"/>
  <c r="Q45"/>
  <c r="S44"/>
  <c r="U44" s="1"/>
  <c r="Q44"/>
  <c r="Z43"/>
  <c r="AF43" s="1"/>
  <c r="AG43" s="1"/>
  <c r="AH43" s="1"/>
  <c r="S42"/>
  <c r="U42" s="1"/>
  <c r="Q42"/>
  <c r="U41"/>
  <c r="AG41" s="1"/>
  <c r="AH41" s="1"/>
  <c r="S41"/>
  <c r="Z41" s="1"/>
  <c r="AF41" s="1"/>
  <c r="Q41"/>
  <c r="U40"/>
  <c r="AG40" s="1"/>
  <c r="AH40" s="1"/>
  <c r="T40"/>
  <c r="S40"/>
  <c r="Z40" s="1"/>
  <c r="AF40" s="1"/>
  <c r="Q40"/>
  <c r="U39"/>
  <c r="AG39" s="1"/>
  <c r="AH39" s="1"/>
  <c r="S39"/>
  <c r="Z39" s="1"/>
  <c r="AF39" s="1"/>
  <c r="Q39"/>
  <c r="S38"/>
  <c r="Z38" s="1"/>
  <c r="AF38" s="1"/>
  <c r="Q38"/>
  <c r="U37"/>
  <c r="S37"/>
  <c r="Z37" s="1"/>
  <c r="AF37" s="1"/>
  <c r="Q37"/>
  <c r="U36"/>
  <c r="S36"/>
  <c r="Z36" s="1"/>
  <c r="AF36" s="1"/>
  <c r="Q36"/>
  <c r="S35"/>
  <c r="Z35" s="1"/>
  <c r="AF35" s="1"/>
  <c r="Q35"/>
  <c r="S34"/>
  <c r="Z34" s="1"/>
  <c r="AF34" s="1"/>
  <c r="Q34"/>
  <c r="U33"/>
  <c r="S33"/>
  <c r="Z33" s="1"/>
  <c r="AF33" s="1"/>
  <c r="Q33"/>
  <c r="S32"/>
  <c r="Z32" s="1"/>
  <c r="AF32" s="1"/>
  <c r="Q32"/>
  <c r="S31"/>
  <c r="Z31" s="1"/>
  <c r="AF31" s="1"/>
  <c r="Q31"/>
  <c r="S30"/>
  <c r="Z30" s="1"/>
  <c r="AF30" s="1"/>
  <c r="Q30"/>
  <c r="T29"/>
  <c r="S29"/>
  <c r="U29" s="1"/>
  <c r="Q29"/>
  <c r="T28"/>
  <c r="T73" s="1"/>
  <c r="S28"/>
  <c r="U28" s="1"/>
  <c r="Q28"/>
  <c r="S27"/>
  <c r="Z27" s="1"/>
  <c r="AF27" s="1"/>
  <c r="Q27"/>
  <c r="S26"/>
  <c r="U26" s="1"/>
  <c r="Q26"/>
  <c r="U25"/>
  <c r="AG25" s="1"/>
  <c r="AH25" s="1"/>
  <c r="S25"/>
  <c r="Z25" s="1"/>
  <c r="AF25" s="1"/>
  <c r="Q25"/>
  <c r="S24"/>
  <c r="Z24" s="1"/>
  <c r="AF24" s="1"/>
  <c r="Q24"/>
  <c r="S23"/>
  <c r="Z23" s="1"/>
  <c r="AF23" s="1"/>
  <c r="Q23"/>
  <c r="U22"/>
  <c r="S22"/>
  <c r="Z22" s="1"/>
  <c r="AF22" s="1"/>
  <c r="Q22"/>
  <c r="S21"/>
  <c r="Z21" s="1"/>
  <c r="AF21" s="1"/>
  <c r="Q21"/>
  <c r="S20"/>
  <c r="Z20" s="1"/>
  <c r="AF20" s="1"/>
  <c r="Q20"/>
  <c r="Z19"/>
  <c r="AF19" s="1"/>
  <c r="U19"/>
  <c r="S19"/>
  <c r="Q19"/>
  <c r="Z18"/>
  <c r="AF18" s="1"/>
  <c r="AG18" s="1"/>
  <c r="AH18" s="1"/>
  <c r="S17"/>
  <c r="U17" s="1"/>
  <c r="Q17"/>
  <c r="S16"/>
  <c r="Z16" s="1"/>
  <c r="AF16" s="1"/>
  <c r="Q16"/>
  <c r="S15"/>
  <c r="Z15" s="1"/>
  <c r="AF15" s="1"/>
  <c r="Q15"/>
  <c r="Q14"/>
  <c r="D73"/>
  <c r="E75" s="1"/>
  <c r="S13"/>
  <c r="Z13" s="1"/>
  <c r="AF13" s="1"/>
  <c r="Q13"/>
  <c r="S12"/>
  <c r="Z12" s="1"/>
  <c r="AF12" s="1"/>
  <c r="Q12"/>
  <c r="S11"/>
  <c r="U11" s="1"/>
  <c r="Q11"/>
  <c r="C73"/>
  <c r="S10"/>
  <c r="Z10" s="1"/>
  <c r="AF10" s="1"/>
  <c r="Q10"/>
  <c r="S9"/>
  <c r="U9" s="1"/>
  <c r="Q9"/>
  <c r="Q8"/>
  <c r="S7"/>
  <c r="Q7"/>
  <c r="C41" i="875"/>
  <c r="C16"/>
  <c r="C11"/>
  <c r="R76"/>
  <c r="R75"/>
  <c r="R74"/>
  <c r="F77"/>
  <c r="R11"/>
  <c r="R14"/>
  <c r="R69"/>
  <c r="R70"/>
  <c r="R71"/>
  <c r="R8"/>
  <c r="R7"/>
  <c r="R50"/>
  <c r="R67"/>
  <c r="R12"/>
  <c r="AG14" i="895" l="1"/>
  <c r="AG11" i="894"/>
  <c r="AH11" s="1"/>
  <c r="AH73" s="1"/>
  <c r="AH7" i="892"/>
  <c r="AH73" s="1"/>
  <c r="AG73"/>
  <c r="AH7" i="891"/>
  <c r="AH73" s="1"/>
  <c r="AG73"/>
  <c r="AG8" i="890"/>
  <c r="AF73" i="889"/>
  <c r="AG7"/>
  <c r="AF29" i="888"/>
  <c r="AF73" s="1"/>
  <c r="Z73"/>
  <c r="U73"/>
  <c r="AH7" i="887"/>
  <c r="AF12"/>
  <c r="AF73" s="1"/>
  <c r="Z73"/>
  <c r="AG73" i="886"/>
  <c r="AH73"/>
  <c r="U73" i="885"/>
  <c r="AF73"/>
  <c r="Z73"/>
  <c r="AG21"/>
  <c r="AH21" s="1"/>
  <c r="AH7"/>
  <c r="AF7" i="884"/>
  <c r="AF73" s="1"/>
  <c r="Z73"/>
  <c r="U73"/>
  <c r="Z73" i="883"/>
  <c r="AF7"/>
  <c r="AF73" s="1"/>
  <c r="U73"/>
  <c r="AG14"/>
  <c r="AH14" s="1"/>
  <c r="U73" i="882"/>
  <c r="AG36"/>
  <c r="AH36" s="1"/>
  <c r="Z73"/>
  <c r="AF7"/>
  <c r="S73" i="881"/>
  <c r="U71"/>
  <c r="AG41"/>
  <c r="AH41" s="1"/>
  <c r="AG32"/>
  <c r="AH32" s="1"/>
  <c r="AF73"/>
  <c r="U73"/>
  <c r="AG8"/>
  <c r="AG14"/>
  <c r="AH14" s="1"/>
  <c r="AG71"/>
  <c r="AH71" s="1"/>
  <c r="Z73"/>
  <c r="AG7" i="880"/>
  <c r="AH7" s="1"/>
  <c r="Z14"/>
  <c r="AF14" s="1"/>
  <c r="AG14" s="1"/>
  <c r="AH14" s="1"/>
  <c r="S73"/>
  <c r="U73"/>
  <c r="AG71"/>
  <c r="AH71" s="1"/>
  <c r="X118" i="879"/>
  <c r="U32"/>
  <c r="U9"/>
  <c r="AG9" s="1"/>
  <c r="AH9" s="1"/>
  <c r="U16"/>
  <c r="AG16" s="1"/>
  <c r="AH16" s="1"/>
  <c r="U64"/>
  <c r="Q73"/>
  <c r="E74" s="1"/>
  <c r="Z61"/>
  <c r="AF61" s="1"/>
  <c r="AG61" s="1"/>
  <c r="AH61" s="1"/>
  <c r="Z62"/>
  <c r="AF62" s="1"/>
  <c r="AG62" s="1"/>
  <c r="AH62" s="1"/>
  <c r="Z67"/>
  <c r="AF67" s="1"/>
  <c r="AG67" s="1"/>
  <c r="AH67" s="1"/>
  <c r="U53"/>
  <c r="AG53" s="1"/>
  <c r="AH53" s="1"/>
  <c r="U56"/>
  <c r="AG56" s="1"/>
  <c r="AH56" s="1"/>
  <c r="U57"/>
  <c r="AG23"/>
  <c r="AH23" s="1"/>
  <c r="AG37"/>
  <c r="AH37" s="1"/>
  <c r="AG54"/>
  <c r="AH54" s="1"/>
  <c r="AG12"/>
  <c r="AH12" s="1"/>
  <c r="U15"/>
  <c r="AG15" s="1"/>
  <c r="AH15" s="1"/>
  <c r="U17"/>
  <c r="AG17" s="1"/>
  <c r="AH17" s="1"/>
  <c r="U21"/>
  <c r="AG21" s="1"/>
  <c r="AH21" s="1"/>
  <c r="U35"/>
  <c r="AG35" s="1"/>
  <c r="AH35" s="1"/>
  <c r="U44"/>
  <c r="AG44" s="1"/>
  <c r="AH44" s="1"/>
  <c r="U45"/>
  <c r="AG45" s="1"/>
  <c r="AH45" s="1"/>
  <c r="U52"/>
  <c r="AG52" s="1"/>
  <c r="AH52" s="1"/>
  <c r="U65"/>
  <c r="AG65" s="1"/>
  <c r="AH65" s="1"/>
  <c r="AG49"/>
  <c r="AH49" s="1"/>
  <c r="AG10"/>
  <c r="AH10" s="1"/>
  <c r="AG19"/>
  <c r="AH19" s="1"/>
  <c r="AG26"/>
  <c r="AH26" s="1"/>
  <c r="AG27"/>
  <c r="AH27" s="1"/>
  <c r="AG32"/>
  <c r="AH32" s="1"/>
  <c r="AG33"/>
  <c r="AH33" s="1"/>
  <c r="AF7"/>
  <c r="U71"/>
  <c r="Z71"/>
  <c r="AF71" s="1"/>
  <c r="U70"/>
  <c r="Z70"/>
  <c r="AF70" s="1"/>
  <c r="U38"/>
  <c r="Z38"/>
  <c r="AF38" s="1"/>
  <c r="AG22"/>
  <c r="AH22" s="1"/>
  <c r="AG36"/>
  <c r="AH36" s="1"/>
  <c r="AG48"/>
  <c r="AH48" s="1"/>
  <c r="AG57"/>
  <c r="AH57" s="1"/>
  <c r="AG11"/>
  <c r="AH11" s="1"/>
  <c r="AG25"/>
  <c r="AH25" s="1"/>
  <c r="AG31"/>
  <c r="AH31" s="1"/>
  <c r="AG42"/>
  <c r="AH42" s="1"/>
  <c r="AG64"/>
  <c r="AH64" s="1"/>
  <c r="Z50"/>
  <c r="AF50" s="1"/>
  <c r="AG50" s="1"/>
  <c r="AH50" s="1"/>
  <c r="U7"/>
  <c r="U8"/>
  <c r="AG8" s="1"/>
  <c r="AH8" s="1"/>
  <c r="U13"/>
  <c r="AG13" s="1"/>
  <c r="AH13" s="1"/>
  <c r="U14"/>
  <c r="AG14" s="1"/>
  <c r="AH14" s="1"/>
  <c r="U20"/>
  <c r="AG20" s="1"/>
  <c r="AH20" s="1"/>
  <c r="U24"/>
  <c r="AG24" s="1"/>
  <c r="AH24" s="1"/>
  <c r="U30"/>
  <c r="AG30" s="1"/>
  <c r="AH30" s="1"/>
  <c r="U34"/>
  <c r="AG34" s="1"/>
  <c r="AH34" s="1"/>
  <c r="U39"/>
  <c r="AG39" s="1"/>
  <c r="AH39" s="1"/>
  <c r="U41"/>
  <c r="AG41" s="1"/>
  <c r="AH41" s="1"/>
  <c r="U46"/>
  <c r="AG46" s="1"/>
  <c r="AH46" s="1"/>
  <c r="U51"/>
  <c r="AG51" s="1"/>
  <c r="AH51" s="1"/>
  <c r="U55"/>
  <c r="AG55" s="1"/>
  <c r="AH55" s="1"/>
  <c r="U59"/>
  <c r="AG59" s="1"/>
  <c r="AH59" s="1"/>
  <c r="U63"/>
  <c r="AG63" s="1"/>
  <c r="AH63" s="1"/>
  <c r="U68"/>
  <c r="AG68" s="1"/>
  <c r="AH68" s="1"/>
  <c r="S69"/>
  <c r="S73" s="1"/>
  <c r="Z28"/>
  <c r="AF28" s="1"/>
  <c r="AG28" s="1"/>
  <c r="AH28" s="1"/>
  <c r="Z29"/>
  <c r="AF29" s="1"/>
  <c r="AG29" s="1"/>
  <c r="AH29" s="1"/>
  <c r="Z40"/>
  <c r="AF40" s="1"/>
  <c r="AG40" s="1"/>
  <c r="AH40" s="1"/>
  <c r="C73" i="878"/>
  <c r="Z70"/>
  <c r="AF70" s="1"/>
  <c r="U70"/>
  <c r="AG70" s="1"/>
  <c r="AH70" s="1"/>
  <c r="S69"/>
  <c r="Z69" s="1"/>
  <c r="AF69" s="1"/>
  <c r="R73"/>
  <c r="D76" s="1"/>
  <c r="X118"/>
  <c r="R80"/>
  <c r="D73"/>
  <c r="E75" s="1"/>
  <c r="S71"/>
  <c r="Z71" s="1"/>
  <c r="AF71" s="1"/>
  <c r="U64"/>
  <c r="AG64" s="1"/>
  <c r="AH64" s="1"/>
  <c r="Q73"/>
  <c r="E74" s="1"/>
  <c r="U19"/>
  <c r="AG19" s="1"/>
  <c r="AH19" s="1"/>
  <c r="U24"/>
  <c r="U25"/>
  <c r="AG25" s="1"/>
  <c r="AH25" s="1"/>
  <c r="U34"/>
  <c r="AG34" s="1"/>
  <c r="AH34" s="1"/>
  <c r="U35"/>
  <c r="AG35" s="1"/>
  <c r="AH35" s="1"/>
  <c r="U62"/>
  <c r="U65"/>
  <c r="AG49"/>
  <c r="AH49" s="1"/>
  <c r="AG62"/>
  <c r="AH62" s="1"/>
  <c r="U7"/>
  <c r="U15"/>
  <c r="AG15" s="1"/>
  <c r="AH15" s="1"/>
  <c r="U20"/>
  <c r="AG20" s="1"/>
  <c r="AH20" s="1"/>
  <c r="U21"/>
  <c r="AG21" s="1"/>
  <c r="AH21" s="1"/>
  <c r="U30"/>
  <c r="AG30" s="1"/>
  <c r="AH30" s="1"/>
  <c r="U31"/>
  <c r="AG31" s="1"/>
  <c r="AH31" s="1"/>
  <c r="U38"/>
  <c r="AG38" s="1"/>
  <c r="AH38" s="1"/>
  <c r="U39"/>
  <c r="AG39" s="1"/>
  <c r="AH39" s="1"/>
  <c r="U47"/>
  <c r="AG47" s="1"/>
  <c r="AH47" s="1"/>
  <c r="U53"/>
  <c r="AG53" s="1"/>
  <c r="AH53" s="1"/>
  <c r="U54"/>
  <c r="AG54" s="1"/>
  <c r="AH54" s="1"/>
  <c r="U60"/>
  <c r="AG60" s="1"/>
  <c r="AH60" s="1"/>
  <c r="AG48"/>
  <c r="AH48" s="1"/>
  <c r="AG61"/>
  <c r="AH61" s="1"/>
  <c r="AG67"/>
  <c r="AH67" s="1"/>
  <c r="AG9"/>
  <c r="AH9" s="1"/>
  <c r="U28"/>
  <c r="AG28" s="1"/>
  <c r="AH28" s="1"/>
  <c r="U29"/>
  <c r="AG29" s="1"/>
  <c r="AH29" s="1"/>
  <c r="AG45"/>
  <c r="AH45" s="1"/>
  <c r="AG24"/>
  <c r="AH24" s="1"/>
  <c r="AG8"/>
  <c r="AH8" s="1"/>
  <c r="AG13"/>
  <c r="AH13" s="1"/>
  <c r="U11"/>
  <c r="Z11"/>
  <c r="AF11" s="1"/>
  <c r="AG44"/>
  <c r="AH44" s="1"/>
  <c r="AG65"/>
  <c r="AH65" s="1"/>
  <c r="Z40"/>
  <c r="AF40" s="1"/>
  <c r="AG40" s="1"/>
  <c r="AH40" s="1"/>
  <c r="AF7"/>
  <c r="U10"/>
  <c r="AG10" s="1"/>
  <c r="AH10" s="1"/>
  <c r="U12"/>
  <c r="AG12" s="1"/>
  <c r="AH12" s="1"/>
  <c r="U14"/>
  <c r="AG14" s="1"/>
  <c r="AH14" s="1"/>
  <c r="U17"/>
  <c r="AG17" s="1"/>
  <c r="AH17" s="1"/>
  <c r="U22"/>
  <c r="AG22" s="1"/>
  <c r="AH22" s="1"/>
  <c r="U26"/>
  <c r="AG26" s="1"/>
  <c r="AH26" s="1"/>
  <c r="U32"/>
  <c r="AG32" s="1"/>
  <c r="AH32" s="1"/>
  <c r="U36"/>
  <c r="AG36" s="1"/>
  <c r="AH36" s="1"/>
  <c r="U41"/>
  <c r="AG41" s="1"/>
  <c r="AH41" s="1"/>
  <c r="U46"/>
  <c r="AG46" s="1"/>
  <c r="AH46" s="1"/>
  <c r="U51"/>
  <c r="AG51" s="1"/>
  <c r="AH51" s="1"/>
  <c r="U55"/>
  <c r="AG55" s="1"/>
  <c r="AH55" s="1"/>
  <c r="U59"/>
  <c r="AG59" s="1"/>
  <c r="AH59" s="1"/>
  <c r="U63"/>
  <c r="AG63" s="1"/>
  <c r="AH63" s="1"/>
  <c r="U68"/>
  <c r="AG68" s="1"/>
  <c r="AH68" s="1"/>
  <c r="Z50"/>
  <c r="AF50" s="1"/>
  <c r="AG50" s="1"/>
  <c r="AH50" s="1"/>
  <c r="C73" i="877"/>
  <c r="X118"/>
  <c r="S17"/>
  <c r="Z17" s="1"/>
  <c r="AF17" s="1"/>
  <c r="D73"/>
  <c r="E75" s="1"/>
  <c r="U8"/>
  <c r="AG8" s="1"/>
  <c r="AH8" s="1"/>
  <c r="U59"/>
  <c r="AG59" s="1"/>
  <c r="AH59" s="1"/>
  <c r="U64"/>
  <c r="AG64" s="1"/>
  <c r="AH64" s="1"/>
  <c r="Z65"/>
  <c r="AF65" s="1"/>
  <c r="U68"/>
  <c r="AG68" s="1"/>
  <c r="AH68" s="1"/>
  <c r="Z12"/>
  <c r="AF12" s="1"/>
  <c r="AG12" s="1"/>
  <c r="AH12" s="1"/>
  <c r="Z22"/>
  <c r="AF22" s="1"/>
  <c r="U33"/>
  <c r="AG33" s="1"/>
  <c r="AH33" s="1"/>
  <c r="U36"/>
  <c r="AG36" s="1"/>
  <c r="AH36" s="1"/>
  <c r="U41"/>
  <c r="AG41" s="1"/>
  <c r="AH41" s="1"/>
  <c r="U46"/>
  <c r="AG46" s="1"/>
  <c r="AH46" s="1"/>
  <c r="U51"/>
  <c r="AG51" s="1"/>
  <c r="AH51" s="1"/>
  <c r="AG21"/>
  <c r="AH21" s="1"/>
  <c r="AG56"/>
  <c r="AH56" s="1"/>
  <c r="AG22"/>
  <c r="AH22" s="1"/>
  <c r="AG34"/>
  <c r="AH34" s="1"/>
  <c r="U20"/>
  <c r="AG20" s="1"/>
  <c r="AH20" s="1"/>
  <c r="U25"/>
  <c r="Z26"/>
  <c r="AF26" s="1"/>
  <c r="AG26" s="1"/>
  <c r="AH26" s="1"/>
  <c r="U30"/>
  <c r="U31"/>
  <c r="AG31" s="1"/>
  <c r="AH31" s="1"/>
  <c r="U32"/>
  <c r="AG32" s="1"/>
  <c r="AH32" s="1"/>
  <c r="U37"/>
  <c r="AG37" s="1"/>
  <c r="AH37" s="1"/>
  <c r="Z38"/>
  <c r="AF38" s="1"/>
  <c r="AG38" s="1"/>
  <c r="AH38" s="1"/>
  <c r="U42"/>
  <c r="AG42" s="1"/>
  <c r="AH42" s="1"/>
  <c r="AG44"/>
  <c r="AH44" s="1"/>
  <c r="U55"/>
  <c r="AG55" s="1"/>
  <c r="AH55" s="1"/>
  <c r="U57"/>
  <c r="AG57" s="1"/>
  <c r="AH57" s="1"/>
  <c r="U60"/>
  <c r="AG60" s="1"/>
  <c r="AH60" s="1"/>
  <c r="Z61"/>
  <c r="AF61" s="1"/>
  <c r="AG61" s="1"/>
  <c r="AH61" s="1"/>
  <c r="AG65"/>
  <c r="AH65" s="1"/>
  <c r="AG10"/>
  <c r="AH10" s="1"/>
  <c r="AG48"/>
  <c r="AH48" s="1"/>
  <c r="AG53"/>
  <c r="AH53" s="1"/>
  <c r="U69"/>
  <c r="Z69"/>
  <c r="AF69" s="1"/>
  <c r="U70"/>
  <c r="Z70"/>
  <c r="AF70" s="1"/>
  <c r="Z71"/>
  <c r="AF71" s="1"/>
  <c r="U71"/>
  <c r="AG47"/>
  <c r="AH47" s="1"/>
  <c r="AG52"/>
  <c r="AH52" s="1"/>
  <c r="AG9"/>
  <c r="AH9" s="1"/>
  <c r="AG25"/>
  <c r="AH25" s="1"/>
  <c r="AG30"/>
  <c r="AH30" s="1"/>
  <c r="U16"/>
  <c r="Z16"/>
  <c r="AF16" s="1"/>
  <c r="U14"/>
  <c r="Z14"/>
  <c r="AF14" s="1"/>
  <c r="S11"/>
  <c r="Z13"/>
  <c r="AF13" s="1"/>
  <c r="AG13" s="1"/>
  <c r="AH13" s="1"/>
  <c r="Z15"/>
  <c r="AF15" s="1"/>
  <c r="AG15" s="1"/>
  <c r="AH15" s="1"/>
  <c r="Z19"/>
  <c r="AF19" s="1"/>
  <c r="AG19" s="1"/>
  <c r="AH19" s="1"/>
  <c r="Z23"/>
  <c r="AF23" s="1"/>
  <c r="AG23" s="1"/>
  <c r="AH23" s="1"/>
  <c r="Z27"/>
  <c r="AF27" s="1"/>
  <c r="AG27" s="1"/>
  <c r="AH27" s="1"/>
  <c r="Z28"/>
  <c r="AF28" s="1"/>
  <c r="AG28" s="1"/>
  <c r="AH28" s="1"/>
  <c r="Z29"/>
  <c r="AF29" s="1"/>
  <c r="AG29" s="1"/>
  <c r="AH29" s="1"/>
  <c r="Z35"/>
  <c r="AF35" s="1"/>
  <c r="AG35" s="1"/>
  <c r="AH35" s="1"/>
  <c r="Z39"/>
  <c r="AF39" s="1"/>
  <c r="AG39" s="1"/>
  <c r="AH39" s="1"/>
  <c r="Z40"/>
  <c r="AF40" s="1"/>
  <c r="AG40" s="1"/>
  <c r="AH40" s="1"/>
  <c r="Z45"/>
  <c r="AF45" s="1"/>
  <c r="AG45" s="1"/>
  <c r="AH45" s="1"/>
  <c r="Z49"/>
  <c r="AF49" s="1"/>
  <c r="AG49" s="1"/>
  <c r="AH49" s="1"/>
  <c r="Z50"/>
  <c r="AF50" s="1"/>
  <c r="AG50" s="1"/>
  <c r="AH50" s="1"/>
  <c r="Z54"/>
  <c r="AF54" s="1"/>
  <c r="AG54" s="1"/>
  <c r="AH54" s="1"/>
  <c r="Z62"/>
  <c r="AF62" s="1"/>
  <c r="AG62" s="1"/>
  <c r="AH62" s="1"/>
  <c r="Z67"/>
  <c r="AF67" s="1"/>
  <c r="AG67" s="1"/>
  <c r="AH67" s="1"/>
  <c r="R73"/>
  <c r="D76" s="1"/>
  <c r="Z7"/>
  <c r="Q71"/>
  <c r="Q73" s="1"/>
  <c r="E74" s="1"/>
  <c r="X118" i="876"/>
  <c r="S14"/>
  <c r="Z14" s="1"/>
  <c r="AF14" s="1"/>
  <c r="U32"/>
  <c r="AG32" s="1"/>
  <c r="AH32" s="1"/>
  <c r="Z26"/>
  <c r="AF26" s="1"/>
  <c r="U13"/>
  <c r="AG13" s="1"/>
  <c r="AH13" s="1"/>
  <c r="U23"/>
  <c r="U27"/>
  <c r="U31"/>
  <c r="AG31" s="1"/>
  <c r="AH31" s="1"/>
  <c r="U60"/>
  <c r="AG60" s="1"/>
  <c r="AH60" s="1"/>
  <c r="U15"/>
  <c r="AG15" s="1"/>
  <c r="AH15" s="1"/>
  <c r="Z44"/>
  <c r="AF44" s="1"/>
  <c r="AG44" s="1"/>
  <c r="AH44" s="1"/>
  <c r="U47"/>
  <c r="AG47" s="1"/>
  <c r="AH47" s="1"/>
  <c r="U53"/>
  <c r="AG53" s="1"/>
  <c r="AH53" s="1"/>
  <c r="U56"/>
  <c r="AG56" s="1"/>
  <c r="AH56" s="1"/>
  <c r="U57"/>
  <c r="AG57" s="1"/>
  <c r="AH57" s="1"/>
  <c r="Q73"/>
  <c r="E74" s="1"/>
  <c r="U10"/>
  <c r="U16"/>
  <c r="AG16" s="1"/>
  <c r="AH16" s="1"/>
  <c r="U48"/>
  <c r="U54"/>
  <c r="AG54" s="1"/>
  <c r="AH54" s="1"/>
  <c r="AG23"/>
  <c r="AH23" s="1"/>
  <c r="AG36"/>
  <c r="AH36" s="1"/>
  <c r="AG48"/>
  <c r="AH48" s="1"/>
  <c r="AG67"/>
  <c r="AH67" s="1"/>
  <c r="Z17"/>
  <c r="AF17" s="1"/>
  <c r="AG17" s="1"/>
  <c r="AH17" s="1"/>
  <c r="AG19"/>
  <c r="AH19" s="1"/>
  <c r="AG27"/>
  <c r="AH27" s="1"/>
  <c r="AG33"/>
  <c r="AH33" s="1"/>
  <c r="Z42"/>
  <c r="AF42" s="1"/>
  <c r="AG42" s="1"/>
  <c r="AH42" s="1"/>
  <c r="Z65"/>
  <c r="AF65" s="1"/>
  <c r="AG65" s="1"/>
  <c r="AH65" s="1"/>
  <c r="AG68"/>
  <c r="AH68" s="1"/>
  <c r="AG22"/>
  <c r="AH22" s="1"/>
  <c r="AG37"/>
  <c r="AH37" s="1"/>
  <c r="AG61"/>
  <c r="AH61" s="1"/>
  <c r="AG62"/>
  <c r="AH62" s="1"/>
  <c r="U21"/>
  <c r="AG21" s="1"/>
  <c r="AH21" s="1"/>
  <c r="U35"/>
  <c r="AG35" s="1"/>
  <c r="AH35" s="1"/>
  <c r="U46"/>
  <c r="AG46" s="1"/>
  <c r="AH46" s="1"/>
  <c r="U52"/>
  <c r="AG52" s="1"/>
  <c r="AH52" s="1"/>
  <c r="U70"/>
  <c r="Z70"/>
  <c r="AF70" s="1"/>
  <c r="U71"/>
  <c r="Z71"/>
  <c r="AF71" s="1"/>
  <c r="U7"/>
  <c r="Z7"/>
  <c r="S73"/>
  <c r="AG26"/>
  <c r="AH26" s="1"/>
  <c r="R80"/>
  <c r="AG10"/>
  <c r="AH10" s="1"/>
  <c r="U8"/>
  <c r="Z8"/>
  <c r="AF8" s="1"/>
  <c r="U69"/>
  <c r="Z69"/>
  <c r="AF69" s="1"/>
  <c r="R73"/>
  <c r="D76" s="1"/>
  <c r="Z50"/>
  <c r="AF50" s="1"/>
  <c r="AG50" s="1"/>
  <c r="AH50" s="1"/>
  <c r="Z9"/>
  <c r="AF9" s="1"/>
  <c r="AG9" s="1"/>
  <c r="AH9" s="1"/>
  <c r="Z11"/>
  <c r="AF11" s="1"/>
  <c r="AG11" s="1"/>
  <c r="AH11" s="1"/>
  <c r="U12"/>
  <c r="AG12" s="1"/>
  <c r="AH12" s="1"/>
  <c r="U20"/>
  <c r="AG20" s="1"/>
  <c r="AH20" s="1"/>
  <c r="U24"/>
  <c r="AG24" s="1"/>
  <c r="AH24" s="1"/>
  <c r="U30"/>
  <c r="AG30" s="1"/>
  <c r="AH30" s="1"/>
  <c r="U34"/>
  <c r="AG34" s="1"/>
  <c r="AH34" s="1"/>
  <c r="U38"/>
  <c r="AG38" s="1"/>
  <c r="AH38" s="1"/>
  <c r="U45"/>
  <c r="AG45" s="1"/>
  <c r="AH45" s="1"/>
  <c r="U49"/>
  <c r="AG49" s="1"/>
  <c r="AH49" s="1"/>
  <c r="U51"/>
  <c r="AG51" s="1"/>
  <c r="AH51" s="1"/>
  <c r="U55"/>
  <c r="AG55" s="1"/>
  <c r="AH55" s="1"/>
  <c r="U59"/>
  <c r="AG59" s="1"/>
  <c r="AH59" s="1"/>
  <c r="U63"/>
  <c r="AG63" s="1"/>
  <c r="AH63" s="1"/>
  <c r="Z28"/>
  <c r="AF28" s="1"/>
  <c r="AG28" s="1"/>
  <c r="AH28" s="1"/>
  <c r="Z29"/>
  <c r="AF29" s="1"/>
  <c r="AG29" s="1"/>
  <c r="AH29" s="1"/>
  <c r="D71" i="875"/>
  <c r="S71" s="1"/>
  <c r="D70"/>
  <c r="D14"/>
  <c r="X145"/>
  <c r="AA118"/>
  <c r="Z118"/>
  <c r="W118"/>
  <c r="V118"/>
  <c r="X118" s="1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R80" s="1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C73"/>
  <c r="Z72"/>
  <c r="AF72" s="1"/>
  <c r="AG72" s="1"/>
  <c r="AH72" s="1"/>
  <c r="Q71"/>
  <c r="Q70"/>
  <c r="S69"/>
  <c r="U69" s="1"/>
  <c r="Q69"/>
  <c r="S68"/>
  <c r="Z68" s="1"/>
  <c r="AF68" s="1"/>
  <c r="Q68"/>
  <c r="S67"/>
  <c r="Z67" s="1"/>
  <c r="AF67" s="1"/>
  <c r="Q67"/>
  <c r="AH66"/>
  <c r="AG66"/>
  <c r="AF66"/>
  <c r="Z66"/>
  <c r="S65"/>
  <c r="Z65" s="1"/>
  <c r="AF65" s="1"/>
  <c r="Q65"/>
  <c r="S64"/>
  <c r="U64" s="1"/>
  <c r="Q64"/>
  <c r="S63"/>
  <c r="Z63" s="1"/>
  <c r="AF63" s="1"/>
  <c r="Q63"/>
  <c r="S62"/>
  <c r="Z62" s="1"/>
  <c r="AF62" s="1"/>
  <c r="Q62"/>
  <c r="S61"/>
  <c r="Z61" s="1"/>
  <c r="AF61" s="1"/>
  <c r="Q61"/>
  <c r="S60"/>
  <c r="U60" s="1"/>
  <c r="Q60"/>
  <c r="S59"/>
  <c r="Z59" s="1"/>
  <c r="AF59" s="1"/>
  <c r="Q59"/>
  <c r="Z58"/>
  <c r="AF58" s="1"/>
  <c r="U58"/>
  <c r="AG58" s="1"/>
  <c r="AH58" s="1"/>
  <c r="Q58"/>
  <c r="T57"/>
  <c r="S57"/>
  <c r="U57" s="1"/>
  <c r="Q57"/>
  <c r="S56"/>
  <c r="U56" s="1"/>
  <c r="Q56"/>
  <c r="S55"/>
  <c r="Z55" s="1"/>
  <c r="AF55" s="1"/>
  <c r="Q55"/>
  <c r="U54"/>
  <c r="S54"/>
  <c r="Z54" s="1"/>
  <c r="AF54" s="1"/>
  <c r="Q54"/>
  <c r="S53"/>
  <c r="Z53" s="1"/>
  <c r="AF53" s="1"/>
  <c r="Q53"/>
  <c r="S52"/>
  <c r="U52" s="1"/>
  <c r="Q52"/>
  <c r="Z51"/>
  <c r="AF51" s="1"/>
  <c r="U51"/>
  <c r="S51"/>
  <c r="Q51"/>
  <c r="T50"/>
  <c r="S50"/>
  <c r="U50" s="1"/>
  <c r="Q50"/>
  <c r="S49"/>
  <c r="Z49" s="1"/>
  <c r="AF49" s="1"/>
  <c r="Q49"/>
  <c r="U48"/>
  <c r="S48"/>
  <c r="Z48" s="1"/>
  <c r="AF48" s="1"/>
  <c r="Q48"/>
  <c r="S47"/>
  <c r="U47" s="1"/>
  <c r="Q47"/>
  <c r="S46"/>
  <c r="Z46" s="1"/>
  <c r="AF46" s="1"/>
  <c r="Q46"/>
  <c r="S45"/>
  <c r="Z45" s="1"/>
  <c r="AF45" s="1"/>
  <c r="Q45"/>
  <c r="S44"/>
  <c r="Z44" s="1"/>
  <c r="AF44" s="1"/>
  <c r="Q44"/>
  <c r="AG43"/>
  <c r="AH43" s="1"/>
  <c r="AF43"/>
  <c r="Z43"/>
  <c r="S42"/>
  <c r="U42" s="1"/>
  <c r="Q42"/>
  <c r="S41"/>
  <c r="Z41" s="1"/>
  <c r="AF41" s="1"/>
  <c r="Q41"/>
  <c r="T40"/>
  <c r="Q40"/>
  <c r="S40"/>
  <c r="U39"/>
  <c r="S39"/>
  <c r="Z39" s="1"/>
  <c r="AF39" s="1"/>
  <c r="Q39"/>
  <c r="S38"/>
  <c r="Z38" s="1"/>
  <c r="AF38" s="1"/>
  <c r="Q38"/>
  <c r="S37"/>
  <c r="Z37" s="1"/>
  <c r="AF37" s="1"/>
  <c r="Q37"/>
  <c r="S36"/>
  <c r="U36" s="1"/>
  <c r="Q36"/>
  <c r="S35"/>
  <c r="Z35" s="1"/>
  <c r="AF35" s="1"/>
  <c r="Q35"/>
  <c r="S34"/>
  <c r="Z34" s="1"/>
  <c r="AF34" s="1"/>
  <c r="Q34"/>
  <c r="S33"/>
  <c r="Z33" s="1"/>
  <c r="AF33" s="1"/>
  <c r="Q33"/>
  <c r="S32"/>
  <c r="U32" s="1"/>
  <c r="Q32"/>
  <c r="S31"/>
  <c r="Z31" s="1"/>
  <c r="AF31" s="1"/>
  <c r="Q31"/>
  <c r="S30"/>
  <c r="Z30" s="1"/>
  <c r="AF30" s="1"/>
  <c r="Q30"/>
  <c r="T29"/>
  <c r="S29"/>
  <c r="Z29" s="1"/>
  <c r="AF29" s="1"/>
  <c r="Q29"/>
  <c r="T28"/>
  <c r="T73" s="1"/>
  <c r="Q28"/>
  <c r="S28"/>
  <c r="S27"/>
  <c r="Z27" s="1"/>
  <c r="AF27" s="1"/>
  <c r="Q27"/>
  <c r="S26"/>
  <c r="Z26" s="1"/>
  <c r="AF26" s="1"/>
  <c r="Q26"/>
  <c r="S25"/>
  <c r="Z25" s="1"/>
  <c r="AF25" s="1"/>
  <c r="Q25"/>
  <c r="S24"/>
  <c r="U24" s="1"/>
  <c r="Q24"/>
  <c r="U23"/>
  <c r="S23"/>
  <c r="Z23" s="1"/>
  <c r="AF23" s="1"/>
  <c r="Q23"/>
  <c r="S22"/>
  <c r="Z22" s="1"/>
  <c r="AF22" s="1"/>
  <c r="Q22"/>
  <c r="S21"/>
  <c r="Z21" s="1"/>
  <c r="AF21" s="1"/>
  <c r="Q21"/>
  <c r="S20"/>
  <c r="U20" s="1"/>
  <c r="Q20"/>
  <c r="S19"/>
  <c r="Z19" s="1"/>
  <c r="AF19" s="1"/>
  <c r="Q19"/>
  <c r="Z18"/>
  <c r="AF18" s="1"/>
  <c r="AG18" s="1"/>
  <c r="AH18" s="1"/>
  <c r="S17"/>
  <c r="Z17" s="1"/>
  <c r="AF17" s="1"/>
  <c r="Q17"/>
  <c r="S16"/>
  <c r="Z16" s="1"/>
  <c r="AF16" s="1"/>
  <c r="Q16"/>
  <c r="S15"/>
  <c r="U15" s="1"/>
  <c r="Q15"/>
  <c r="R73"/>
  <c r="D76" s="1"/>
  <c r="Q14"/>
  <c r="S13"/>
  <c r="U13" s="1"/>
  <c r="Q13"/>
  <c r="S12"/>
  <c r="Z12" s="1"/>
  <c r="AF12" s="1"/>
  <c r="Q12"/>
  <c r="U11"/>
  <c r="S11"/>
  <c r="Z11" s="1"/>
  <c r="AF11" s="1"/>
  <c r="Q11"/>
  <c r="S10"/>
  <c r="Z10" s="1"/>
  <c r="AF10" s="1"/>
  <c r="Q10"/>
  <c r="S9"/>
  <c r="Z9" s="1"/>
  <c r="AF9" s="1"/>
  <c r="Q9"/>
  <c r="S8"/>
  <c r="U8" s="1"/>
  <c r="Q8"/>
  <c r="S7"/>
  <c r="Z7" s="1"/>
  <c r="AF7" s="1"/>
  <c r="Q7"/>
  <c r="C28" i="874"/>
  <c r="C73" s="1"/>
  <c r="C40"/>
  <c r="R14"/>
  <c r="R73" s="1"/>
  <c r="D76" s="1"/>
  <c r="F77"/>
  <c r="R77" s="1"/>
  <c r="G29"/>
  <c r="Q29" s="1"/>
  <c r="G10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6"/>
  <c r="R75"/>
  <c r="T74"/>
  <c r="R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Z72"/>
  <c r="AF72" s="1"/>
  <c r="AG72" s="1"/>
  <c r="AH72" s="1"/>
  <c r="U71"/>
  <c r="AG71" s="1"/>
  <c r="AH71" s="1"/>
  <c r="S71"/>
  <c r="Z71" s="1"/>
  <c r="AF71" s="1"/>
  <c r="Q71"/>
  <c r="U70"/>
  <c r="AG70" s="1"/>
  <c r="AH70" s="1"/>
  <c r="S70"/>
  <c r="Z70" s="1"/>
  <c r="AF70" s="1"/>
  <c r="Q70"/>
  <c r="S69"/>
  <c r="Z69" s="1"/>
  <c r="AF69" s="1"/>
  <c r="Q69"/>
  <c r="S68"/>
  <c r="Z68" s="1"/>
  <c r="AF68" s="1"/>
  <c r="Q68"/>
  <c r="S67"/>
  <c r="U67" s="1"/>
  <c r="Q67"/>
  <c r="Z66"/>
  <c r="AF66" s="1"/>
  <c r="AG66" s="1"/>
  <c r="AH66" s="1"/>
  <c r="S65"/>
  <c r="Z65" s="1"/>
  <c r="AF65" s="1"/>
  <c r="Q65"/>
  <c r="S64"/>
  <c r="Z64" s="1"/>
  <c r="AF64" s="1"/>
  <c r="Q64"/>
  <c r="S63"/>
  <c r="Z63" s="1"/>
  <c r="AF63" s="1"/>
  <c r="Q63"/>
  <c r="S62"/>
  <c r="U62" s="1"/>
  <c r="Q62"/>
  <c r="S61"/>
  <c r="U61" s="1"/>
  <c r="Q61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Z57" s="1"/>
  <c r="AF57" s="1"/>
  <c r="Q57"/>
  <c r="S56"/>
  <c r="Z56" s="1"/>
  <c r="AF56" s="1"/>
  <c r="Q56"/>
  <c r="S55"/>
  <c r="Z55" s="1"/>
  <c r="AF55" s="1"/>
  <c r="Q55"/>
  <c r="S54"/>
  <c r="Z54" s="1"/>
  <c r="AF54" s="1"/>
  <c r="Q54"/>
  <c r="U53"/>
  <c r="S53"/>
  <c r="Z53" s="1"/>
  <c r="AF53" s="1"/>
  <c r="Q53"/>
  <c r="S52"/>
  <c r="Z52" s="1"/>
  <c r="AF52" s="1"/>
  <c r="Q52"/>
  <c r="S51"/>
  <c r="Z51" s="1"/>
  <c r="AF51" s="1"/>
  <c r="Q51"/>
  <c r="T50"/>
  <c r="S50"/>
  <c r="U50" s="1"/>
  <c r="Q50"/>
  <c r="U49"/>
  <c r="S49"/>
  <c r="Z49" s="1"/>
  <c r="AF49" s="1"/>
  <c r="Q49"/>
  <c r="U48"/>
  <c r="S48"/>
  <c r="Z48" s="1"/>
  <c r="AF48" s="1"/>
  <c r="Q48"/>
  <c r="S47"/>
  <c r="Z47" s="1"/>
  <c r="AF47" s="1"/>
  <c r="Q47"/>
  <c r="S46"/>
  <c r="Z46" s="1"/>
  <c r="AF46" s="1"/>
  <c r="Q46"/>
  <c r="S45"/>
  <c r="U45" s="1"/>
  <c r="Q45"/>
  <c r="S44"/>
  <c r="U44" s="1"/>
  <c r="Q44"/>
  <c r="AH43"/>
  <c r="AG43"/>
  <c r="AF43"/>
  <c r="Z43"/>
  <c r="S42"/>
  <c r="Z42" s="1"/>
  <c r="AF42" s="1"/>
  <c r="Q42"/>
  <c r="S41"/>
  <c r="Z41" s="1"/>
  <c r="AF41" s="1"/>
  <c r="Q41"/>
  <c r="T40"/>
  <c r="S40"/>
  <c r="U40" s="1"/>
  <c r="Q40"/>
  <c r="S39"/>
  <c r="Z39" s="1"/>
  <c r="AF39" s="1"/>
  <c r="Q39"/>
  <c r="S38"/>
  <c r="Z38" s="1"/>
  <c r="AF38" s="1"/>
  <c r="Q38"/>
  <c r="S37"/>
  <c r="Z37" s="1"/>
  <c r="AF37" s="1"/>
  <c r="Q37"/>
  <c r="S36"/>
  <c r="Z36" s="1"/>
  <c r="AF36" s="1"/>
  <c r="Q36"/>
  <c r="S35"/>
  <c r="U35" s="1"/>
  <c r="Q35"/>
  <c r="S34"/>
  <c r="U34" s="1"/>
  <c r="Q34"/>
  <c r="U33"/>
  <c r="AG33" s="1"/>
  <c r="AH33" s="1"/>
  <c r="S33"/>
  <c r="Z33" s="1"/>
  <c r="AF33" s="1"/>
  <c r="Q33"/>
  <c r="S32"/>
  <c r="Z32" s="1"/>
  <c r="AF32" s="1"/>
  <c r="Q32"/>
  <c r="S31"/>
  <c r="Z31" s="1"/>
  <c r="AF31" s="1"/>
  <c r="Q31"/>
  <c r="U30"/>
  <c r="S30"/>
  <c r="Z30" s="1"/>
  <c r="AF30" s="1"/>
  <c r="Q30"/>
  <c r="T29"/>
  <c r="S29"/>
  <c r="T28"/>
  <c r="T73" s="1"/>
  <c r="Q28"/>
  <c r="S27"/>
  <c r="U27" s="1"/>
  <c r="Q27"/>
  <c r="S26"/>
  <c r="U26" s="1"/>
  <c r="Q26"/>
  <c r="S25"/>
  <c r="Z25" s="1"/>
  <c r="AF25" s="1"/>
  <c r="Q25"/>
  <c r="S24"/>
  <c r="Z24" s="1"/>
  <c r="AF24" s="1"/>
  <c r="Q24"/>
  <c r="S23"/>
  <c r="U23" s="1"/>
  <c r="Q23"/>
  <c r="S22"/>
  <c r="U22" s="1"/>
  <c r="Q22"/>
  <c r="S21"/>
  <c r="Z21" s="1"/>
  <c r="AF21" s="1"/>
  <c r="Q21"/>
  <c r="S20"/>
  <c r="Z20" s="1"/>
  <c r="AF20" s="1"/>
  <c r="Q20"/>
  <c r="S19"/>
  <c r="U19" s="1"/>
  <c r="Q19"/>
  <c r="Z18"/>
  <c r="AF18" s="1"/>
  <c r="AG18" s="1"/>
  <c r="AH18" s="1"/>
  <c r="S17"/>
  <c r="Z17" s="1"/>
  <c r="AF17" s="1"/>
  <c r="Q17"/>
  <c r="S16"/>
  <c r="Z16" s="1"/>
  <c r="AF16" s="1"/>
  <c r="Q16"/>
  <c r="S15"/>
  <c r="Z15" s="1"/>
  <c r="AF15" s="1"/>
  <c r="Q15"/>
  <c r="Q14"/>
  <c r="D73"/>
  <c r="E75" s="1"/>
  <c r="S13"/>
  <c r="Z13" s="1"/>
  <c r="AF13" s="1"/>
  <c r="Q13"/>
  <c r="S12"/>
  <c r="U12" s="1"/>
  <c r="Q12"/>
  <c r="Z11"/>
  <c r="AF11" s="1"/>
  <c r="S11"/>
  <c r="U11" s="1"/>
  <c r="Q11"/>
  <c r="S10"/>
  <c r="Z10" s="1"/>
  <c r="AF10" s="1"/>
  <c r="S9"/>
  <c r="Z9" s="1"/>
  <c r="AF9" s="1"/>
  <c r="Q9"/>
  <c r="S8"/>
  <c r="Z8" s="1"/>
  <c r="AF8" s="1"/>
  <c r="Q8"/>
  <c r="S7"/>
  <c r="Z7" s="1"/>
  <c r="Q7"/>
  <c r="R76" i="873"/>
  <c r="R75"/>
  <c r="R74"/>
  <c r="R71"/>
  <c r="C28"/>
  <c r="C29"/>
  <c r="R14"/>
  <c r="R70"/>
  <c r="D14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F77"/>
  <c r="R80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C73"/>
  <c r="Z72"/>
  <c r="AF72" s="1"/>
  <c r="AG72" s="1"/>
  <c r="AH72" s="1"/>
  <c r="S71"/>
  <c r="U71" s="1"/>
  <c r="Q71"/>
  <c r="S70"/>
  <c r="Z70" s="1"/>
  <c r="AF70" s="1"/>
  <c r="Q70"/>
  <c r="S69"/>
  <c r="Z69" s="1"/>
  <c r="AF69" s="1"/>
  <c r="Q69"/>
  <c r="S68"/>
  <c r="Z68" s="1"/>
  <c r="AF68" s="1"/>
  <c r="Q68"/>
  <c r="S67"/>
  <c r="U67" s="1"/>
  <c r="Q67"/>
  <c r="AF66"/>
  <c r="AG66" s="1"/>
  <c r="AH66" s="1"/>
  <c r="Z66"/>
  <c r="S65"/>
  <c r="Z65" s="1"/>
  <c r="AF65" s="1"/>
  <c r="Q65"/>
  <c r="S64"/>
  <c r="Z64" s="1"/>
  <c r="AF64" s="1"/>
  <c r="Q64"/>
  <c r="S63"/>
  <c r="Z63" s="1"/>
  <c r="AF63" s="1"/>
  <c r="Q63"/>
  <c r="S62"/>
  <c r="U62" s="1"/>
  <c r="Q62"/>
  <c r="U61"/>
  <c r="S61"/>
  <c r="Z61" s="1"/>
  <c r="AF61" s="1"/>
  <c r="Q61"/>
  <c r="S60"/>
  <c r="Z60" s="1"/>
  <c r="AF60" s="1"/>
  <c r="Q60"/>
  <c r="S59"/>
  <c r="Z59" s="1"/>
  <c r="AF59" s="1"/>
  <c r="Q59"/>
  <c r="AG58"/>
  <c r="AH58" s="1"/>
  <c r="AF58"/>
  <c r="Z58"/>
  <c r="U58"/>
  <c r="Q58"/>
  <c r="T57"/>
  <c r="S57"/>
  <c r="U57" s="1"/>
  <c r="Q57"/>
  <c r="S56"/>
  <c r="U56" s="1"/>
  <c r="Q56"/>
  <c r="S55"/>
  <c r="Z55" s="1"/>
  <c r="AF55" s="1"/>
  <c r="Q55"/>
  <c r="S54"/>
  <c r="U54" s="1"/>
  <c r="Q54"/>
  <c r="U53"/>
  <c r="S53"/>
  <c r="Z53" s="1"/>
  <c r="AF53" s="1"/>
  <c r="Q53"/>
  <c r="U52"/>
  <c r="S52"/>
  <c r="Z52" s="1"/>
  <c r="AF52" s="1"/>
  <c r="Q52"/>
  <c r="S51"/>
  <c r="Z51" s="1"/>
  <c r="AF51" s="1"/>
  <c r="Q51"/>
  <c r="T50"/>
  <c r="S50"/>
  <c r="U50" s="1"/>
  <c r="Q50"/>
  <c r="S49"/>
  <c r="U49" s="1"/>
  <c r="Q49"/>
  <c r="S48"/>
  <c r="Z48" s="1"/>
  <c r="AF48" s="1"/>
  <c r="Q48"/>
  <c r="S47"/>
  <c r="Z47" s="1"/>
  <c r="AF47" s="1"/>
  <c r="Q47"/>
  <c r="S46"/>
  <c r="Z46" s="1"/>
  <c r="AF46" s="1"/>
  <c r="Q46"/>
  <c r="S45"/>
  <c r="U45" s="1"/>
  <c r="Q45"/>
  <c r="S44"/>
  <c r="Z44" s="1"/>
  <c r="AF44" s="1"/>
  <c r="Q44"/>
  <c r="Z43"/>
  <c r="AF43" s="1"/>
  <c r="AG43" s="1"/>
  <c r="AH43" s="1"/>
  <c r="S42"/>
  <c r="Z42" s="1"/>
  <c r="AF42" s="1"/>
  <c r="Q42"/>
  <c r="S41"/>
  <c r="Z41" s="1"/>
  <c r="AF41" s="1"/>
  <c r="Q41"/>
  <c r="T40"/>
  <c r="S40"/>
  <c r="U40" s="1"/>
  <c r="Q40"/>
  <c r="S39"/>
  <c r="Z39" s="1"/>
  <c r="AF39" s="1"/>
  <c r="Q39"/>
  <c r="S38"/>
  <c r="U38" s="1"/>
  <c r="Q38"/>
  <c r="S37"/>
  <c r="U37" s="1"/>
  <c r="Q37"/>
  <c r="S36"/>
  <c r="U36" s="1"/>
  <c r="Q36"/>
  <c r="S35"/>
  <c r="U35" s="1"/>
  <c r="Q35"/>
  <c r="S34"/>
  <c r="Z34" s="1"/>
  <c r="AF34" s="1"/>
  <c r="Q34"/>
  <c r="S33"/>
  <c r="U33" s="1"/>
  <c r="Q33"/>
  <c r="U32"/>
  <c r="S32"/>
  <c r="Z32" s="1"/>
  <c r="AF32" s="1"/>
  <c r="Q32"/>
  <c r="U31"/>
  <c r="S31"/>
  <c r="Z31" s="1"/>
  <c r="AF31" s="1"/>
  <c r="Q31"/>
  <c r="S30"/>
  <c r="Z30" s="1"/>
  <c r="AF30" s="1"/>
  <c r="Q30"/>
  <c r="T29"/>
  <c r="S29"/>
  <c r="U29" s="1"/>
  <c r="Q29"/>
  <c r="T28"/>
  <c r="T73" s="1"/>
  <c r="S28"/>
  <c r="U28" s="1"/>
  <c r="Q28"/>
  <c r="S27"/>
  <c r="U27" s="1"/>
  <c r="Q27"/>
  <c r="S26"/>
  <c r="U26" s="1"/>
  <c r="Q26"/>
  <c r="S25"/>
  <c r="U25" s="1"/>
  <c r="Q25"/>
  <c r="S24"/>
  <c r="Z24" s="1"/>
  <c r="AF24" s="1"/>
  <c r="Q24"/>
  <c r="S23"/>
  <c r="U23" s="1"/>
  <c r="Q23"/>
  <c r="S22"/>
  <c r="U22" s="1"/>
  <c r="Q22"/>
  <c r="S21"/>
  <c r="U21" s="1"/>
  <c r="Q21"/>
  <c r="S20"/>
  <c r="Z20" s="1"/>
  <c r="AF20" s="1"/>
  <c r="Q20"/>
  <c r="S19"/>
  <c r="U19" s="1"/>
  <c r="Q19"/>
  <c r="AF18"/>
  <c r="AG18" s="1"/>
  <c r="AH18" s="1"/>
  <c r="Z18"/>
  <c r="S17"/>
  <c r="U17" s="1"/>
  <c r="Q17"/>
  <c r="S16"/>
  <c r="U16" s="1"/>
  <c r="Q16"/>
  <c r="S15"/>
  <c r="Z15" s="1"/>
  <c r="AF15" s="1"/>
  <c r="Q15"/>
  <c r="S14"/>
  <c r="U14" s="1"/>
  <c r="Q14"/>
  <c r="D73"/>
  <c r="E75" s="1"/>
  <c r="S13"/>
  <c r="Z13" s="1"/>
  <c r="AF13" s="1"/>
  <c r="Q13"/>
  <c r="S12"/>
  <c r="U12" s="1"/>
  <c r="Q12"/>
  <c r="S11"/>
  <c r="Q11"/>
  <c r="S10"/>
  <c r="Z10" s="1"/>
  <c r="AF10" s="1"/>
  <c r="Q10"/>
  <c r="S9"/>
  <c r="Z9" s="1"/>
  <c r="AF9" s="1"/>
  <c r="Q9"/>
  <c r="S8"/>
  <c r="Z8" s="1"/>
  <c r="AF8" s="1"/>
  <c r="Q8"/>
  <c r="S7"/>
  <c r="Z7" s="1"/>
  <c r="Q7"/>
  <c r="F77" i="872"/>
  <c r="R76"/>
  <c r="R75"/>
  <c r="R74"/>
  <c r="R14"/>
  <c r="R69"/>
  <c r="R71"/>
  <c r="S71" s="1"/>
  <c r="Z71" s="1"/>
  <c r="AF71" s="1"/>
  <c r="R11"/>
  <c r="C38"/>
  <c r="C40"/>
  <c r="C73" s="1"/>
  <c r="G10"/>
  <c r="D14"/>
  <c r="D73" s="1"/>
  <c r="E75" s="1"/>
  <c r="X145"/>
  <c r="AA118"/>
  <c r="Z118"/>
  <c r="W118"/>
  <c r="V118"/>
  <c r="T118"/>
  <c r="R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0"/>
  <c r="R77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G73"/>
  <c r="F73"/>
  <c r="E73"/>
  <c r="AH72"/>
  <c r="AG72"/>
  <c r="AF72"/>
  <c r="Z72"/>
  <c r="Q71"/>
  <c r="S70"/>
  <c r="Z70" s="1"/>
  <c r="AF70" s="1"/>
  <c r="Q70"/>
  <c r="S69"/>
  <c r="Z69" s="1"/>
  <c r="AF69" s="1"/>
  <c r="Q69"/>
  <c r="S68"/>
  <c r="Z68" s="1"/>
  <c r="AF68" s="1"/>
  <c r="Q68"/>
  <c r="S67"/>
  <c r="Z67" s="1"/>
  <c r="AF67" s="1"/>
  <c r="Q67"/>
  <c r="AG66"/>
  <c r="AH66" s="1"/>
  <c r="AF66"/>
  <c r="Z66"/>
  <c r="S65"/>
  <c r="Z65" s="1"/>
  <c r="AF65" s="1"/>
  <c r="Q65"/>
  <c r="S64"/>
  <c r="U64" s="1"/>
  <c r="Q64"/>
  <c r="S63"/>
  <c r="U63" s="1"/>
  <c r="Q63"/>
  <c r="S62"/>
  <c r="Z62" s="1"/>
  <c r="AF62" s="1"/>
  <c r="Q62"/>
  <c r="S61"/>
  <c r="Z61" s="1"/>
  <c r="AF61" s="1"/>
  <c r="Q61"/>
  <c r="U60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U57" s="1"/>
  <c r="Q57"/>
  <c r="U56"/>
  <c r="S56"/>
  <c r="Z56" s="1"/>
  <c r="AF56" s="1"/>
  <c r="Q56"/>
  <c r="U55"/>
  <c r="S55"/>
  <c r="Z55" s="1"/>
  <c r="AF55" s="1"/>
  <c r="Q55"/>
  <c r="S54"/>
  <c r="Z54" s="1"/>
  <c r="AF54" s="1"/>
  <c r="Q54"/>
  <c r="S53"/>
  <c r="Z53" s="1"/>
  <c r="AF53" s="1"/>
  <c r="Q53"/>
  <c r="S52"/>
  <c r="U52" s="1"/>
  <c r="Q52"/>
  <c r="S51"/>
  <c r="U51" s="1"/>
  <c r="Q51"/>
  <c r="T50"/>
  <c r="S50"/>
  <c r="Z50" s="1"/>
  <c r="AF50" s="1"/>
  <c r="Q50"/>
  <c r="S49"/>
  <c r="Z49" s="1"/>
  <c r="AF49" s="1"/>
  <c r="Q49"/>
  <c r="S48"/>
  <c r="Z48" s="1"/>
  <c r="AF48" s="1"/>
  <c r="Q48"/>
  <c r="S47"/>
  <c r="Z47" s="1"/>
  <c r="AF47" s="1"/>
  <c r="Q47"/>
  <c r="S46"/>
  <c r="Z46" s="1"/>
  <c r="AF46" s="1"/>
  <c r="Q46"/>
  <c r="S45"/>
  <c r="Z45" s="1"/>
  <c r="AF45" s="1"/>
  <c r="Q45"/>
  <c r="S44"/>
  <c r="Z44" s="1"/>
  <c r="AF44" s="1"/>
  <c r="Q44"/>
  <c r="AF43"/>
  <c r="AG43" s="1"/>
  <c r="AH43" s="1"/>
  <c r="Z43"/>
  <c r="S42"/>
  <c r="Z42" s="1"/>
  <c r="AF42" s="1"/>
  <c r="Q42"/>
  <c r="S41"/>
  <c r="Z41" s="1"/>
  <c r="AF41" s="1"/>
  <c r="Q41"/>
  <c r="T40"/>
  <c r="S40"/>
  <c r="Z40" s="1"/>
  <c r="AF40" s="1"/>
  <c r="Q40"/>
  <c r="S39"/>
  <c r="Z39" s="1"/>
  <c r="AF39" s="1"/>
  <c r="Q39"/>
  <c r="S38"/>
  <c r="Z38" s="1"/>
  <c r="AF38" s="1"/>
  <c r="Q38"/>
  <c r="AF37"/>
  <c r="Z37"/>
  <c r="S37"/>
  <c r="U37" s="1"/>
  <c r="Q37"/>
  <c r="Z36"/>
  <c r="AF36" s="1"/>
  <c r="S36"/>
  <c r="U36" s="1"/>
  <c r="Q36"/>
  <c r="S35"/>
  <c r="Z35" s="1"/>
  <c r="AF35" s="1"/>
  <c r="Q35"/>
  <c r="S34"/>
  <c r="Z34" s="1"/>
  <c r="AF34" s="1"/>
  <c r="Q34"/>
  <c r="S33"/>
  <c r="Z33" s="1"/>
  <c r="AF33" s="1"/>
  <c r="Q33"/>
  <c r="S32"/>
  <c r="Z32" s="1"/>
  <c r="AF32" s="1"/>
  <c r="Q32"/>
  <c r="S31"/>
  <c r="Z31" s="1"/>
  <c r="AF31" s="1"/>
  <c r="Q31"/>
  <c r="S30"/>
  <c r="Z30" s="1"/>
  <c r="AF30" s="1"/>
  <c r="Q30"/>
  <c r="T29"/>
  <c r="S29"/>
  <c r="U29" s="1"/>
  <c r="Q29"/>
  <c r="T28"/>
  <c r="T73" s="1"/>
  <c r="S28"/>
  <c r="Z28" s="1"/>
  <c r="AF28" s="1"/>
  <c r="Q28"/>
  <c r="S27"/>
  <c r="Z27" s="1"/>
  <c r="AF27" s="1"/>
  <c r="Q27"/>
  <c r="S26"/>
  <c r="Z26" s="1"/>
  <c r="AF26" s="1"/>
  <c r="Q26"/>
  <c r="S25"/>
  <c r="U25" s="1"/>
  <c r="Q25"/>
  <c r="Z24"/>
  <c r="AF24" s="1"/>
  <c r="S24"/>
  <c r="U24" s="1"/>
  <c r="Q24"/>
  <c r="U23"/>
  <c r="S23"/>
  <c r="Z23" s="1"/>
  <c r="AF23" s="1"/>
  <c r="Q23"/>
  <c r="S22"/>
  <c r="Z22" s="1"/>
  <c r="AF22" s="1"/>
  <c r="Q22"/>
  <c r="U21"/>
  <c r="S21"/>
  <c r="Z21" s="1"/>
  <c r="AF21" s="1"/>
  <c r="Q21"/>
  <c r="U20"/>
  <c r="S20"/>
  <c r="Z20" s="1"/>
  <c r="AF20" s="1"/>
  <c r="Q20"/>
  <c r="S19"/>
  <c r="Z19" s="1"/>
  <c r="AF19" s="1"/>
  <c r="Q19"/>
  <c r="AG18"/>
  <c r="AH18" s="1"/>
  <c r="AF18"/>
  <c r="Z18"/>
  <c r="S17"/>
  <c r="Z17" s="1"/>
  <c r="AF17" s="1"/>
  <c r="Q17"/>
  <c r="S16"/>
  <c r="U16" s="1"/>
  <c r="Q16"/>
  <c r="S15"/>
  <c r="U15" s="1"/>
  <c r="Q15"/>
  <c r="Q14"/>
  <c r="S13"/>
  <c r="Z13" s="1"/>
  <c r="AF13" s="1"/>
  <c r="Q13"/>
  <c r="S12"/>
  <c r="Z12" s="1"/>
  <c r="AF12" s="1"/>
  <c r="Q12"/>
  <c r="S11"/>
  <c r="Z11" s="1"/>
  <c r="AF11" s="1"/>
  <c r="Q11"/>
  <c r="S10"/>
  <c r="U10" s="1"/>
  <c r="Q10"/>
  <c r="S9"/>
  <c r="U9" s="1"/>
  <c r="Q9"/>
  <c r="S8"/>
  <c r="Z8" s="1"/>
  <c r="AF8" s="1"/>
  <c r="Q8"/>
  <c r="U7"/>
  <c r="S7"/>
  <c r="Q7"/>
  <c r="R76" i="871"/>
  <c r="R75"/>
  <c r="R74"/>
  <c r="C28"/>
  <c r="C29"/>
  <c r="S29"/>
  <c r="U29" s="1"/>
  <c r="F77"/>
  <c r="R77"/>
  <c r="C67"/>
  <c r="C70"/>
  <c r="R71"/>
  <c r="S71" s="1"/>
  <c r="R12"/>
  <c r="R8"/>
  <c r="R14"/>
  <c r="R73"/>
  <c r="D76" s="1"/>
  <c r="R69"/>
  <c r="X145"/>
  <c r="AA118"/>
  <c r="Z118"/>
  <c r="W118"/>
  <c r="V118"/>
  <c r="X118" s="1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R118"/>
  <c r="X95"/>
  <c r="X94"/>
  <c r="X93"/>
  <c r="X92"/>
  <c r="X91"/>
  <c r="X90"/>
  <c r="X89"/>
  <c r="X88"/>
  <c r="X87"/>
  <c r="X80"/>
  <c r="T74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Z72"/>
  <c r="AF72" s="1"/>
  <c r="AG72" s="1"/>
  <c r="AH72" s="1"/>
  <c r="Q71"/>
  <c r="S70"/>
  <c r="Z70" s="1"/>
  <c r="AF70" s="1"/>
  <c r="Q70"/>
  <c r="S69"/>
  <c r="Z69" s="1"/>
  <c r="AF69" s="1"/>
  <c r="Q69"/>
  <c r="S68"/>
  <c r="Z68" s="1"/>
  <c r="AF68" s="1"/>
  <c r="Q68"/>
  <c r="S67"/>
  <c r="U67" s="1"/>
  <c r="Q67"/>
  <c r="Z66"/>
  <c r="AF66" s="1"/>
  <c r="AG66" s="1"/>
  <c r="AH66" s="1"/>
  <c r="S65"/>
  <c r="U65" s="1"/>
  <c r="Q65"/>
  <c r="S64"/>
  <c r="Z64" s="1"/>
  <c r="AF64" s="1"/>
  <c r="Q64"/>
  <c r="S63"/>
  <c r="Z63" s="1"/>
  <c r="AF63" s="1"/>
  <c r="Q63"/>
  <c r="Z62"/>
  <c r="AF62" s="1"/>
  <c r="U62"/>
  <c r="S62"/>
  <c r="Q62"/>
  <c r="Z61"/>
  <c r="AF61" s="1"/>
  <c r="U61"/>
  <c r="S61"/>
  <c r="Q61"/>
  <c r="U60"/>
  <c r="S60"/>
  <c r="Z60" s="1"/>
  <c r="AF60" s="1"/>
  <c r="Q60"/>
  <c r="S59"/>
  <c r="Z59" s="1"/>
  <c r="AF59" s="1"/>
  <c r="Q59"/>
  <c r="AF58"/>
  <c r="Z58"/>
  <c r="U58"/>
  <c r="AG58" s="1"/>
  <c r="AH58" s="1"/>
  <c r="Q58"/>
  <c r="T57"/>
  <c r="S57"/>
  <c r="Z57" s="1"/>
  <c r="AF57" s="1"/>
  <c r="Q57"/>
  <c r="U56"/>
  <c r="AG56" s="1"/>
  <c r="AH56" s="1"/>
  <c r="S56"/>
  <c r="Z56" s="1"/>
  <c r="AF56" s="1"/>
  <c r="Q56"/>
  <c r="S55"/>
  <c r="Z55" s="1"/>
  <c r="AF55" s="1"/>
  <c r="Q55"/>
  <c r="S54"/>
  <c r="Z54" s="1"/>
  <c r="AF54" s="1"/>
  <c r="Q54"/>
  <c r="S53"/>
  <c r="Z53" s="1"/>
  <c r="AF53" s="1"/>
  <c r="Q53"/>
  <c r="S52"/>
  <c r="Z52" s="1"/>
  <c r="AF52" s="1"/>
  <c r="Q52"/>
  <c r="S51"/>
  <c r="Z51" s="1"/>
  <c r="AF51" s="1"/>
  <c r="Q51"/>
  <c r="T50"/>
  <c r="S50"/>
  <c r="U50" s="1"/>
  <c r="Q50"/>
  <c r="G73"/>
  <c r="S49"/>
  <c r="Z49" s="1"/>
  <c r="AF49" s="1"/>
  <c r="Q49"/>
  <c r="S48"/>
  <c r="Z48" s="1"/>
  <c r="AF48" s="1"/>
  <c r="Q48"/>
  <c r="S47"/>
  <c r="Z47" s="1"/>
  <c r="AF47" s="1"/>
  <c r="Q47"/>
  <c r="U46"/>
  <c r="S46"/>
  <c r="Z46" s="1"/>
  <c r="AF46" s="1"/>
  <c r="Q46"/>
  <c r="S45"/>
  <c r="Z45" s="1"/>
  <c r="AF45" s="1"/>
  <c r="Q45"/>
  <c r="S44"/>
  <c r="Z44" s="1"/>
  <c r="AF44" s="1"/>
  <c r="Q44"/>
  <c r="AF43"/>
  <c r="AG43" s="1"/>
  <c r="AH43" s="1"/>
  <c r="Z43"/>
  <c r="S42"/>
  <c r="Z42" s="1"/>
  <c r="AF42" s="1"/>
  <c r="Q42"/>
  <c r="U41"/>
  <c r="S41"/>
  <c r="Z41" s="1"/>
  <c r="AF41" s="1"/>
  <c r="Q41"/>
  <c r="T40"/>
  <c r="S40"/>
  <c r="Z40" s="1"/>
  <c r="AF40" s="1"/>
  <c r="Q40"/>
  <c r="S39"/>
  <c r="Z39" s="1"/>
  <c r="AF39" s="1"/>
  <c r="Q39"/>
  <c r="S38"/>
  <c r="Z38" s="1"/>
  <c r="AF38" s="1"/>
  <c r="Q38"/>
  <c r="S37"/>
  <c r="U37" s="1"/>
  <c r="Q37"/>
  <c r="S36"/>
  <c r="U36" s="1"/>
  <c r="Q36"/>
  <c r="S35"/>
  <c r="Z35" s="1"/>
  <c r="AF35" s="1"/>
  <c r="Q35"/>
  <c r="S34"/>
  <c r="Z34" s="1"/>
  <c r="AF34" s="1"/>
  <c r="Q34"/>
  <c r="U33"/>
  <c r="S33"/>
  <c r="Z33" s="1"/>
  <c r="AF33" s="1"/>
  <c r="Q33"/>
  <c r="S32"/>
  <c r="Z32" s="1"/>
  <c r="AF32" s="1"/>
  <c r="Q32"/>
  <c r="S31"/>
  <c r="Z31" s="1"/>
  <c r="AF31" s="1"/>
  <c r="Q31"/>
  <c r="S30"/>
  <c r="Z30" s="1"/>
  <c r="AF30" s="1"/>
  <c r="Q30"/>
  <c r="T29"/>
  <c r="Q29"/>
  <c r="T28"/>
  <c r="T73" s="1"/>
  <c r="S28"/>
  <c r="U28" s="1"/>
  <c r="Q28"/>
  <c r="U27"/>
  <c r="S27"/>
  <c r="Z27" s="1"/>
  <c r="AF27" s="1"/>
  <c r="Q27"/>
  <c r="S26"/>
  <c r="Z26" s="1"/>
  <c r="AF26" s="1"/>
  <c r="Q26"/>
  <c r="S25"/>
  <c r="Z25" s="1"/>
  <c r="AF25" s="1"/>
  <c r="Q25"/>
  <c r="S24"/>
  <c r="Z24" s="1"/>
  <c r="AF24" s="1"/>
  <c r="Q24"/>
  <c r="S23"/>
  <c r="U23" s="1"/>
  <c r="Q23"/>
  <c r="S22"/>
  <c r="U22" s="1"/>
  <c r="Q22"/>
  <c r="S21"/>
  <c r="Z21" s="1"/>
  <c r="AF21" s="1"/>
  <c r="Q21"/>
  <c r="S20"/>
  <c r="Z20" s="1"/>
  <c r="AF20" s="1"/>
  <c r="Q20"/>
  <c r="S19"/>
  <c r="Z19" s="1"/>
  <c r="AF19" s="1"/>
  <c r="Q19"/>
  <c r="Z18"/>
  <c r="AF18" s="1"/>
  <c r="AG18" s="1"/>
  <c r="AH18" s="1"/>
  <c r="S17"/>
  <c r="Z17" s="1"/>
  <c r="AF17" s="1"/>
  <c r="Q17"/>
  <c r="S16"/>
  <c r="U16" s="1"/>
  <c r="Q16"/>
  <c r="S15"/>
  <c r="Z15" s="1"/>
  <c r="AF15" s="1"/>
  <c r="Q15"/>
  <c r="S14"/>
  <c r="Z14" s="1"/>
  <c r="AF14" s="1"/>
  <c r="Q14"/>
  <c r="D73"/>
  <c r="E75" s="1"/>
  <c r="U13"/>
  <c r="S13"/>
  <c r="Z13" s="1"/>
  <c r="AF13" s="1"/>
  <c r="Q13"/>
  <c r="S12"/>
  <c r="Z12" s="1"/>
  <c r="AF12" s="1"/>
  <c r="Q12"/>
  <c r="S11"/>
  <c r="Z11" s="1"/>
  <c r="AF11" s="1"/>
  <c r="Q11"/>
  <c r="S10"/>
  <c r="Z10" s="1"/>
  <c r="AF10" s="1"/>
  <c r="Q10"/>
  <c r="S9"/>
  <c r="U9" s="1"/>
  <c r="Q9"/>
  <c r="S8"/>
  <c r="U8" s="1"/>
  <c r="Q8"/>
  <c r="S7"/>
  <c r="U7" s="1"/>
  <c r="Q7"/>
  <c r="R71" i="870"/>
  <c r="R11"/>
  <c r="S11" s="1"/>
  <c r="Z11" s="1"/>
  <c r="AF11" s="1"/>
  <c r="R14"/>
  <c r="R14" i="692" s="1"/>
  <c r="R17" i="870"/>
  <c r="S17" s="1"/>
  <c r="U17" s="1"/>
  <c r="R12"/>
  <c r="S12" s="1"/>
  <c r="Z12" s="1"/>
  <c r="AF12" s="1"/>
  <c r="S71"/>
  <c r="Z71" s="1"/>
  <c r="AF71" s="1"/>
  <c r="R69"/>
  <c r="R8"/>
  <c r="R8" i="692" s="1"/>
  <c r="R50" i="870"/>
  <c r="R50" i="692"/>
  <c r="D14" i="870"/>
  <c r="D73" s="1"/>
  <c r="E75" s="1"/>
  <c r="G50"/>
  <c r="Q50" s="1"/>
  <c r="R9" i="692"/>
  <c r="R10"/>
  <c r="R12"/>
  <c r="R13"/>
  <c r="R15"/>
  <c r="R16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"/>
  <c r="R75" i="870"/>
  <c r="R74"/>
  <c r="E7" i="692"/>
  <c r="F7"/>
  <c r="G7"/>
  <c r="H7"/>
  <c r="I7"/>
  <c r="J7"/>
  <c r="K7"/>
  <c r="L7"/>
  <c r="M7"/>
  <c r="N7"/>
  <c r="O7"/>
  <c r="P7"/>
  <c r="E8"/>
  <c r="F8"/>
  <c r="G8"/>
  <c r="H8"/>
  <c r="I8"/>
  <c r="J8"/>
  <c r="K8"/>
  <c r="L8"/>
  <c r="M8"/>
  <c r="N8"/>
  <c r="O8"/>
  <c r="P8"/>
  <c r="E9"/>
  <c r="F9"/>
  <c r="G9"/>
  <c r="H9"/>
  <c r="I9"/>
  <c r="J9"/>
  <c r="K9"/>
  <c r="L9"/>
  <c r="M9"/>
  <c r="N9"/>
  <c r="O9"/>
  <c r="P9"/>
  <c r="E10"/>
  <c r="F10"/>
  <c r="G10"/>
  <c r="H10"/>
  <c r="I10"/>
  <c r="J10"/>
  <c r="K10"/>
  <c r="L10"/>
  <c r="M10"/>
  <c r="N10"/>
  <c r="O10"/>
  <c r="P10"/>
  <c r="E11"/>
  <c r="F11"/>
  <c r="G11"/>
  <c r="H11"/>
  <c r="I11"/>
  <c r="J11"/>
  <c r="K11"/>
  <c r="L11"/>
  <c r="M11"/>
  <c r="N11"/>
  <c r="O11"/>
  <c r="P11"/>
  <c r="E12"/>
  <c r="F12"/>
  <c r="G12"/>
  <c r="H12"/>
  <c r="I12"/>
  <c r="J12"/>
  <c r="K12"/>
  <c r="L12"/>
  <c r="M12"/>
  <c r="N12"/>
  <c r="O12"/>
  <c r="P12"/>
  <c r="E13"/>
  <c r="F13"/>
  <c r="G13"/>
  <c r="H13"/>
  <c r="I13"/>
  <c r="J13"/>
  <c r="K13"/>
  <c r="L13"/>
  <c r="M13"/>
  <c r="N13"/>
  <c r="O13"/>
  <c r="P13"/>
  <c r="E14"/>
  <c r="F14"/>
  <c r="G14"/>
  <c r="H14"/>
  <c r="I14"/>
  <c r="J14"/>
  <c r="K14"/>
  <c r="L14"/>
  <c r="M14"/>
  <c r="N14"/>
  <c r="O14"/>
  <c r="P14"/>
  <c r="E15"/>
  <c r="F15"/>
  <c r="G15"/>
  <c r="H15"/>
  <c r="I15"/>
  <c r="J15"/>
  <c r="K15"/>
  <c r="L15"/>
  <c r="M15"/>
  <c r="N15"/>
  <c r="O15"/>
  <c r="P15"/>
  <c r="E16"/>
  <c r="F16"/>
  <c r="G16"/>
  <c r="H16"/>
  <c r="I16"/>
  <c r="J16"/>
  <c r="K16"/>
  <c r="L16"/>
  <c r="M16"/>
  <c r="N16"/>
  <c r="O16"/>
  <c r="P16"/>
  <c r="E17"/>
  <c r="F17"/>
  <c r="G17"/>
  <c r="H17"/>
  <c r="I17"/>
  <c r="J17"/>
  <c r="K17"/>
  <c r="L17"/>
  <c r="M17"/>
  <c r="N17"/>
  <c r="O17"/>
  <c r="P17"/>
  <c r="E18"/>
  <c r="F18"/>
  <c r="G18"/>
  <c r="H18"/>
  <c r="I18"/>
  <c r="J18"/>
  <c r="K18"/>
  <c r="L18"/>
  <c r="M18"/>
  <c r="N18"/>
  <c r="O18"/>
  <c r="P18"/>
  <c r="E19"/>
  <c r="F19"/>
  <c r="G19"/>
  <c r="H19"/>
  <c r="I19"/>
  <c r="J19"/>
  <c r="K19"/>
  <c r="L19"/>
  <c r="M19"/>
  <c r="N19"/>
  <c r="O19"/>
  <c r="P19"/>
  <c r="E20"/>
  <c r="F20"/>
  <c r="G20"/>
  <c r="H20"/>
  <c r="I20"/>
  <c r="J20"/>
  <c r="K20"/>
  <c r="L20"/>
  <c r="M20"/>
  <c r="N20"/>
  <c r="O20"/>
  <c r="P20"/>
  <c r="E21"/>
  <c r="F21"/>
  <c r="G21"/>
  <c r="H21"/>
  <c r="I21"/>
  <c r="J21"/>
  <c r="K21"/>
  <c r="L21"/>
  <c r="M21"/>
  <c r="N21"/>
  <c r="O21"/>
  <c r="P21"/>
  <c r="E22"/>
  <c r="F22"/>
  <c r="G22"/>
  <c r="H22"/>
  <c r="I22"/>
  <c r="J22"/>
  <c r="K22"/>
  <c r="L22"/>
  <c r="M22"/>
  <c r="N22"/>
  <c r="O22"/>
  <c r="P22"/>
  <c r="E23"/>
  <c r="F23"/>
  <c r="G23"/>
  <c r="H23"/>
  <c r="I23"/>
  <c r="J23"/>
  <c r="K23"/>
  <c r="L23"/>
  <c r="M23"/>
  <c r="N23"/>
  <c r="O23"/>
  <c r="P23"/>
  <c r="E24"/>
  <c r="F24"/>
  <c r="G24"/>
  <c r="H24"/>
  <c r="I24"/>
  <c r="J24"/>
  <c r="K24"/>
  <c r="L24"/>
  <c r="M24"/>
  <c r="N24"/>
  <c r="O24"/>
  <c r="P24"/>
  <c r="E25"/>
  <c r="F25"/>
  <c r="G25"/>
  <c r="H25"/>
  <c r="I25"/>
  <c r="J25"/>
  <c r="K25"/>
  <c r="L25"/>
  <c r="M25"/>
  <c r="N25"/>
  <c r="O25"/>
  <c r="P25"/>
  <c r="E26"/>
  <c r="F26"/>
  <c r="G26"/>
  <c r="H26"/>
  <c r="I26"/>
  <c r="J26"/>
  <c r="K26"/>
  <c r="L26"/>
  <c r="M26"/>
  <c r="N26"/>
  <c r="O26"/>
  <c r="P26"/>
  <c r="E27"/>
  <c r="F27"/>
  <c r="G27"/>
  <c r="H27"/>
  <c r="I27"/>
  <c r="J27"/>
  <c r="K27"/>
  <c r="L27"/>
  <c r="M27"/>
  <c r="N27"/>
  <c r="O27"/>
  <c r="P27"/>
  <c r="E28"/>
  <c r="F28"/>
  <c r="G28"/>
  <c r="H28"/>
  <c r="I28"/>
  <c r="J28"/>
  <c r="K28"/>
  <c r="L28"/>
  <c r="M28"/>
  <c r="N28"/>
  <c r="O28"/>
  <c r="P28"/>
  <c r="E29"/>
  <c r="F29"/>
  <c r="G29"/>
  <c r="H29"/>
  <c r="I29"/>
  <c r="J29"/>
  <c r="K29"/>
  <c r="L29"/>
  <c r="M29"/>
  <c r="N29"/>
  <c r="O29"/>
  <c r="P29"/>
  <c r="E30"/>
  <c r="F30"/>
  <c r="G30"/>
  <c r="H30"/>
  <c r="I30"/>
  <c r="J30"/>
  <c r="K30"/>
  <c r="L30"/>
  <c r="M30"/>
  <c r="N30"/>
  <c r="O30"/>
  <c r="P30"/>
  <c r="E31"/>
  <c r="F31"/>
  <c r="G31"/>
  <c r="H31"/>
  <c r="I31"/>
  <c r="J31"/>
  <c r="K31"/>
  <c r="L31"/>
  <c r="M31"/>
  <c r="N31"/>
  <c r="O31"/>
  <c r="P31"/>
  <c r="E32"/>
  <c r="F32"/>
  <c r="G32"/>
  <c r="H32"/>
  <c r="I32"/>
  <c r="J32"/>
  <c r="K32"/>
  <c r="L32"/>
  <c r="M32"/>
  <c r="N32"/>
  <c r="O32"/>
  <c r="P32"/>
  <c r="E33"/>
  <c r="F33"/>
  <c r="G33"/>
  <c r="H33"/>
  <c r="I33"/>
  <c r="J33"/>
  <c r="K33"/>
  <c r="L33"/>
  <c r="M33"/>
  <c r="N33"/>
  <c r="O33"/>
  <c r="P33"/>
  <c r="E34"/>
  <c r="F34"/>
  <c r="G34"/>
  <c r="H34"/>
  <c r="I34"/>
  <c r="J34"/>
  <c r="K34"/>
  <c r="L34"/>
  <c r="M34"/>
  <c r="N34"/>
  <c r="O34"/>
  <c r="P34"/>
  <c r="E35"/>
  <c r="F35"/>
  <c r="G35"/>
  <c r="H35"/>
  <c r="I35"/>
  <c r="J35"/>
  <c r="K35"/>
  <c r="L35"/>
  <c r="M35"/>
  <c r="N35"/>
  <c r="O35"/>
  <c r="P35"/>
  <c r="E36"/>
  <c r="F36"/>
  <c r="G36"/>
  <c r="H36"/>
  <c r="I36"/>
  <c r="J36"/>
  <c r="K36"/>
  <c r="L36"/>
  <c r="M36"/>
  <c r="N36"/>
  <c r="O36"/>
  <c r="P36"/>
  <c r="E37"/>
  <c r="F37"/>
  <c r="G37"/>
  <c r="H37"/>
  <c r="I37"/>
  <c r="J37"/>
  <c r="K37"/>
  <c r="L37"/>
  <c r="M37"/>
  <c r="N37"/>
  <c r="O37"/>
  <c r="P37"/>
  <c r="E38"/>
  <c r="F38"/>
  <c r="G38"/>
  <c r="H38"/>
  <c r="I38"/>
  <c r="J38"/>
  <c r="K38"/>
  <c r="L38"/>
  <c r="M38"/>
  <c r="N38"/>
  <c r="O38"/>
  <c r="P38"/>
  <c r="E39"/>
  <c r="F39"/>
  <c r="G39"/>
  <c r="H39"/>
  <c r="I39"/>
  <c r="J39"/>
  <c r="K39"/>
  <c r="L39"/>
  <c r="M39"/>
  <c r="N39"/>
  <c r="O39"/>
  <c r="P39"/>
  <c r="E40"/>
  <c r="F40"/>
  <c r="G40"/>
  <c r="H40"/>
  <c r="I40"/>
  <c r="J40"/>
  <c r="K40"/>
  <c r="L40"/>
  <c r="M40"/>
  <c r="N40"/>
  <c r="O40"/>
  <c r="P40"/>
  <c r="E41"/>
  <c r="F41"/>
  <c r="G41"/>
  <c r="H41"/>
  <c r="I41"/>
  <c r="J41"/>
  <c r="K41"/>
  <c r="L41"/>
  <c r="M41"/>
  <c r="N41"/>
  <c r="O41"/>
  <c r="P41"/>
  <c r="E42"/>
  <c r="F42"/>
  <c r="G42"/>
  <c r="H42"/>
  <c r="I42"/>
  <c r="J42"/>
  <c r="K42"/>
  <c r="L42"/>
  <c r="M42"/>
  <c r="N42"/>
  <c r="O42"/>
  <c r="P42"/>
  <c r="E43"/>
  <c r="F43"/>
  <c r="G43"/>
  <c r="H43"/>
  <c r="I43"/>
  <c r="J43"/>
  <c r="K43"/>
  <c r="L43"/>
  <c r="M43"/>
  <c r="N43"/>
  <c r="O43"/>
  <c r="P43"/>
  <c r="E44"/>
  <c r="F44"/>
  <c r="G44"/>
  <c r="H44"/>
  <c r="I44"/>
  <c r="J44"/>
  <c r="K44"/>
  <c r="L44"/>
  <c r="M44"/>
  <c r="N44"/>
  <c r="O44"/>
  <c r="P44"/>
  <c r="E45"/>
  <c r="F45"/>
  <c r="G45"/>
  <c r="H45"/>
  <c r="I45"/>
  <c r="J45"/>
  <c r="K45"/>
  <c r="L45"/>
  <c r="M45"/>
  <c r="N45"/>
  <c r="O45"/>
  <c r="P45"/>
  <c r="E46"/>
  <c r="F46"/>
  <c r="G46"/>
  <c r="H46"/>
  <c r="I46"/>
  <c r="J46"/>
  <c r="K46"/>
  <c r="L46"/>
  <c r="M46"/>
  <c r="N46"/>
  <c r="O46"/>
  <c r="P46"/>
  <c r="E47"/>
  <c r="F47"/>
  <c r="G47"/>
  <c r="H47"/>
  <c r="I47"/>
  <c r="J47"/>
  <c r="K47"/>
  <c r="L47"/>
  <c r="M47"/>
  <c r="N47"/>
  <c r="O47"/>
  <c r="P47"/>
  <c r="E48"/>
  <c r="F48"/>
  <c r="G48"/>
  <c r="H48"/>
  <c r="I48"/>
  <c r="J48"/>
  <c r="K48"/>
  <c r="L48"/>
  <c r="M48"/>
  <c r="N48"/>
  <c r="O48"/>
  <c r="P48"/>
  <c r="E49"/>
  <c r="F49"/>
  <c r="G49"/>
  <c r="H49"/>
  <c r="I49"/>
  <c r="J49"/>
  <c r="K49"/>
  <c r="L49"/>
  <c r="M49"/>
  <c r="N49"/>
  <c r="O49"/>
  <c r="P49"/>
  <c r="E50"/>
  <c r="F50"/>
  <c r="H50"/>
  <c r="I50"/>
  <c r="J50"/>
  <c r="K50"/>
  <c r="L50"/>
  <c r="M50"/>
  <c r="N50"/>
  <c r="O50"/>
  <c r="P50"/>
  <c r="E51"/>
  <c r="F51"/>
  <c r="G51"/>
  <c r="H51"/>
  <c r="I51"/>
  <c r="J51"/>
  <c r="K51"/>
  <c r="L51"/>
  <c r="M51"/>
  <c r="N51"/>
  <c r="O51"/>
  <c r="P51"/>
  <c r="E52"/>
  <c r="F52"/>
  <c r="G52"/>
  <c r="H52"/>
  <c r="I52"/>
  <c r="J52"/>
  <c r="K52"/>
  <c r="L52"/>
  <c r="M52"/>
  <c r="N52"/>
  <c r="O52"/>
  <c r="P52"/>
  <c r="E53"/>
  <c r="F53"/>
  <c r="G53"/>
  <c r="H53"/>
  <c r="I53"/>
  <c r="J53"/>
  <c r="K53"/>
  <c r="L53"/>
  <c r="M53"/>
  <c r="N53"/>
  <c r="O53"/>
  <c r="P53"/>
  <c r="E54"/>
  <c r="F54"/>
  <c r="G54"/>
  <c r="H54"/>
  <c r="I54"/>
  <c r="J54"/>
  <c r="K54"/>
  <c r="L54"/>
  <c r="M54"/>
  <c r="N54"/>
  <c r="O54"/>
  <c r="P54"/>
  <c r="E55"/>
  <c r="F55"/>
  <c r="G55"/>
  <c r="H55"/>
  <c r="I55"/>
  <c r="J55"/>
  <c r="K55"/>
  <c r="L55"/>
  <c r="M55"/>
  <c r="N55"/>
  <c r="O55"/>
  <c r="P55"/>
  <c r="E56"/>
  <c r="F56"/>
  <c r="G56"/>
  <c r="H56"/>
  <c r="I56"/>
  <c r="J56"/>
  <c r="K56"/>
  <c r="L56"/>
  <c r="M56"/>
  <c r="N56"/>
  <c r="O56"/>
  <c r="P56"/>
  <c r="E57"/>
  <c r="F57"/>
  <c r="G57"/>
  <c r="H57"/>
  <c r="I57"/>
  <c r="J57"/>
  <c r="K57"/>
  <c r="L57"/>
  <c r="M57"/>
  <c r="N57"/>
  <c r="O57"/>
  <c r="P57"/>
  <c r="E58"/>
  <c r="F58"/>
  <c r="G58"/>
  <c r="H58"/>
  <c r="I58"/>
  <c r="J58"/>
  <c r="K58"/>
  <c r="L58"/>
  <c r="M58"/>
  <c r="N58"/>
  <c r="O58"/>
  <c r="P58"/>
  <c r="E59"/>
  <c r="F59"/>
  <c r="G59"/>
  <c r="H59"/>
  <c r="I59"/>
  <c r="J59"/>
  <c r="K59"/>
  <c r="L59"/>
  <c r="M59"/>
  <c r="N59"/>
  <c r="O59"/>
  <c r="P59"/>
  <c r="E60"/>
  <c r="F60"/>
  <c r="G60"/>
  <c r="H60"/>
  <c r="I60"/>
  <c r="J60"/>
  <c r="K60"/>
  <c r="L60"/>
  <c r="M60"/>
  <c r="N60"/>
  <c r="O60"/>
  <c r="P60"/>
  <c r="E61"/>
  <c r="F61"/>
  <c r="G61"/>
  <c r="H61"/>
  <c r="I61"/>
  <c r="J61"/>
  <c r="K61"/>
  <c r="L61"/>
  <c r="M61"/>
  <c r="N61"/>
  <c r="O61"/>
  <c r="P61"/>
  <c r="E62"/>
  <c r="F62"/>
  <c r="G62"/>
  <c r="H62"/>
  <c r="I62"/>
  <c r="J62"/>
  <c r="K62"/>
  <c r="L62"/>
  <c r="M62"/>
  <c r="N62"/>
  <c r="O62"/>
  <c r="P62"/>
  <c r="E63"/>
  <c r="F63"/>
  <c r="G63"/>
  <c r="H63"/>
  <c r="I63"/>
  <c r="J63"/>
  <c r="K63"/>
  <c r="L63"/>
  <c r="M63"/>
  <c r="N63"/>
  <c r="O63"/>
  <c r="P63"/>
  <c r="E64"/>
  <c r="F64"/>
  <c r="G64"/>
  <c r="H64"/>
  <c r="I64"/>
  <c r="J64"/>
  <c r="K64"/>
  <c r="L64"/>
  <c r="M64"/>
  <c r="N64"/>
  <c r="O64"/>
  <c r="P64"/>
  <c r="E65"/>
  <c r="F65"/>
  <c r="G65"/>
  <c r="H65"/>
  <c r="I65"/>
  <c r="J65"/>
  <c r="K65"/>
  <c r="L65"/>
  <c r="M65"/>
  <c r="N65"/>
  <c r="O65"/>
  <c r="P65"/>
  <c r="E66"/>
  <c r="F66"/>
  <c r="G66"/>
  <c r="H66"/>
  <c r="I66"/>
  <c r="J66"/>
  <c r="K66"/>
  <c r="L66"/>
  <c r="M66"/>
  <c r="N66"/>
  <c r="O66"/>
  <c r="P66"/>
  <c r="E67"/>
  <c r="F67"/>
  <c r="G67"/>
  <c r="H67"/>
  <c r="I67"/>
  <c r="J67"/>
  <c r="K67"/>
  <c r="L67"/>
  <c r="M67"/>
  <c r="N67"/>
  <c r="O67"/>
  <c r="P67"/>
  <c r="E68"/>
  <c r="F68"/>
  <c r="G68"/>
  <c r="H68"/>
  <c r="I68"/>
  <c r="J68"/>
  <c r="K68"/>
  <c r="L68"/>
  <c r="M68"/>
  <c r="N68"/>
  <c r="O68"/>
  <c r="P68"/>
  <c r="E69"/>
  <c r="F69"/>
  <c r="G69"/>
  <c r="H69"/>
  <c r="I69"/>
  <c r="J69"/>
  <c r="K69"/>
  <c r="L69"/>
  <c r="M69"/>
  <c r="N69"/>
  <c r="O69"/>
  <c r="P69"/>
  <c r="E70"/>
  <c r="F70"/>
  <c r="G70"/>
  <c r="H70"/>
  <c r="I70"/>
  <c r="J70"/>
  <c r="K70"/>
  <c r="L70"/>
  <c r="M70"/>
  <c r="N70"/>
  <c r="O70"/>
  <c r="P70"/>
  <c r="E71"/>
  <c r="F71"/>
  <c r="G71"/>
  <c r="H71"/>
  <c r="I71"/>
  <c r="J71"/>
  <c r="K71"/>
  <c r="L71"/>
  <c r="M71"/>
  <c r="N71"/>
  <c r="O71"/>
  <c r="P71"/>
  <c r="D8"/>
  <c r="D9"/>
  <c r="D10"/>
  <c r="D11"/>
  <c r="D12"/>
  <c r="D13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"/>
  <c r="R76" i="870"/>
  <c r="F77"/>
  <c r="S20"/>
  <c r="Z20" s="1"/>
  <c r="AF20" s="1"/>
  <c r="S69"/>
  <c r="U69" s="1"/>
  <c r="X145"/>
  <c r="AA118"/>
  <c r="Z118"/>
  <c r="W118"/>
  <c r="V118"/>
  <c r="T118"/>
  <c r="Q118"/>
  <c r="P118"/>
  <c r="O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R96"/>
  <c r="R118" s="1"/>
  <c r="X95"/>
  <c r="X94"/>
  <c r="X93"/>
  <c r="X92"/>
  <c r="X91"/>
  <c r="X90"/>
  <c r="X89"/>
  <c r="X88"/>
  <c r="X87"/>
  <c r="X80"/>
  <c r="Q77"/>
  <c r="O77"/>
  <c r="M77"/>
  <c r="R77" s="1"/>
  <c r="AJ73"/>
  <c r="AI73"/>
  <c r="AE73"/>
  <c r="AD73"/>
  <c r="AC73"/>
  <c r="AB73"/>
  <c r="AA73"/>
  <c r="Y73"/>
  <c r="V73"/>
  <c r="P73"/>
  <c r="O73"/>
  <c r="N73"/>
  <c r="M73"/>
  <c r="L73"/>
  <c r="K73"/>
  <c r="J73"/>
  <c r="I73"/>
  <c r="H73"/>
  <c r="F73"/>
  <c r="E73"/>
  <c r="C73"/>
  <c r="Z72"/>
  <c r="AF72" s="1"/>
  <c r="AG72" s="1"/>
  <c r="AH72" s="1"/>
  <c r="Q71"/>
  <c r="S70"/>
  <c r="Z70" s="1"/>
  <c r="AF70" s="1"/>
  <c r="Q70"/>
  <c r="Q69"/>
  <c r="S68"/>
  <c r="Z68" s="1"/>
  <c r="AF68" s="1"/>
  <c r="Q68"/>
  <c r="S67"/>
  <c r="Z67" s="1"/>
  <c r="AF67" s="1"/>
  <c r="Q67"/>
  <c r="AH66"/>
  <c r="AG66"/>
  <c r="AF66"/>
  <c r="Z66"/>
  <c r="S65"/>
  <c r="Z65" s="1"/>
  <c r="AF65" s="1"/>
  <c r="Q65"/>
  <c r="S64"/>
  <c r="U64" s="1"/>
  <c r="Q64"/>
  <c r="S63"/>
  <c r="Z63" s="1"/>
  <c r="AF63" s="1"/>
  <c r="Q63"/>
  <c r="S62"/>
  <c r="Z62" s="1"/>
  <c r="AF62" s="1"/>
  <c r="Q62"/>
  <c r="S61"/>
  <c r="Z61" s="1"/>
  <c r="AF61" s="1"/>
  <c r="Q61"/>
  <c r="S60"/>
  <c r="U60" s="1"/>
  <c r="Q60"/>
  <c r="U59"/>
  <c r="S59"/>
  <c r="Z59" s="1"/>
  <c r="AF59" s="1"/>
  <c r="Q59"/>
  <c r="Z58"/>
  <c r="AF58" s="1"/>
  <c r="U58"/>
  <c r="AG58" s="1"/>
  <c r="AH58" s="1"/>
  <c r="Q58"/>
  <c r="T57"/>
  <c r="S57"/>
  <c r="U57" s="1"/>
  <c r="Q57"/>
  <c r="S56"/>
  <c r="U56" s="1"/>
  <c r="Q56"/>
  <c r="S55"/>
  <c r="Z55" s="1"/>
  <c r="AF55" s="1"/>
  <c r="Q55"/>
  <c r="S54"/>
  <c r="Z54" s="1"/>
  <c r="AF54" s="1"/>
  <c r="Q54"/>
  <c r="S53"/>
  <c r="Z53" s="1"/>
  <c r="AF53" s="1"/>
  <c r="Q53"/>
  <c r="S52"/>
  <c r="U52" s="1"/>
  <c r="Q52"/>
  <c r="S51"/>
  <c r="Z51" s="1"/>
  <c r="AF51" s="1"/>
  <c r="Q51"/>
  <c r="T50"/>
  <c r="S50"/>
  <c r="Z50" s="1"/>
  <c r="AF50" s="1"/>
  <c r="U49"/>
  <c r="S49"/>
  <c r="Z49" s="1"/>
  <c r="AF49" s="1"/>
  <c r="Q49"/>
  <c r="S48"/>
  <c r="Z48" s="1"/>
  <c r="AF48" s="1"/>
  <c r="Q48"/>
  <c r="S47"/>
  <c r="U47" s="1"/>
  <c r="Q47"/>
  <c r="S46"/>
  <c r="Z46" s="1"/>
  <c r="AF46" s="1"/>
  <c r="Q46"/>
  <c r="S45"/>
  <c r="Z45" s="1"/>
  <c r="AF45" s="1"/>
  <c r="Q45"/>
  <c r="S44"/>
  <c r="Z44" s="1"/>
  <c r="AF44" s="1"/>
  <c r="Q44"/>
  <c r="AG43"/>
  <c r="AH43" s="1"/>
  <c r="AF43"/>
  <c r="Z43"/>
  <c r="S42"/>
  <c r="U42" s="1"/>
  <c r="Q42"/>
  <c r="S41"/>
  <c r="Z41" s="1"/>
  <c r="AF41" s="1"/>
  <c r="Q41"/>
  <c r="T40"/>
  <c r="S40"/>
  <c r="Z40" s="1"/>
  <c r="AF40" s="1"/>
  <c r="Q40"/>
  <c r="U39"/>
  <c r="S39"/>
  <c r="Z39" s="1"/>
  <c r="AF39" s="1"/>
  <c r="Q39"/>
  <c r="S38"/>
  <c r="Z38" s="1"/>
  <c r="AF38" s="1"/>
  <c r="Q38"/>
  <c r="S37"/>
  <c r="U37" s="1"/>
  <c r="Q37"/>
  <c r="U36"/>
  <c r="S36"/>
  <c r="Z36" s="1"/>
  <c r="AF36" s="1"/>
  <c r="Q36"/>
  <c r="S35"/>
  <c r="Z35" s="1"/>
  <c r="AF35" s="1"/>
  <c r="Q35"/>
  <c r="S34"/>
  <c r="Z34" s="1"/>
  <c r="AF34" s="1"/>
  <c r="Q34"/>
  <c r="S33"/>
  <c r="Z33" s="1"/>
  <c r="AF33" s="1"/>
  <c r="Q33"/>
  <c r="S32"/>
  <c r="U32" s="1"/>
  <c r="Q32"/>
  <c r="S31"/>
  <c r="Z31" s="1"/>
  <c r="AF31" s="1"/>
  <c r="Q31"/>
  <c r="S30"/>
  <c r="Z30" s="1"/>
  <c r="AF30" s="1"/>
  <c r="Q30"/>
  <c r="T29"/>
  <c r="S29"/>
  <c r="Z29" s="1"/>
  <c r="AF29" s="1"/>
  <c r="Q29"/>
  <c r="T28"/>
  <c r="T73" s="1"/>
  <c r="S28"/>
  <c r="Z28" s="1"/>
  <c r="AF28" s="1"/>
  <c r="Q28"/>
  <c r="S27"/>
  <c r="Z27" s="1"/>
  <c r="AF27" s="1"/>
  <c r="Q27"/>
  <c r="S26"/>
  <c r="U26" s="1"/>
  <c r="Q26"/>
  <c r="S25"/>
  <c r="Z25" s="1"/>
  <c r="AF25" s="1"/>
  <c r="Q25"/>
  <c r="S24"/>
  <c r="Z24" s="1"/>
  <c r="AF24" s="1"/>
  <c r="Q24"/>
  <c r="S23"/>
  <c r="Z23" s="1"/>
  <c r="AF23" s="1"/>
  <c r="Q23"/>
  <c r="S22"/>
  <c r="U22" s="1"/>
  <c r="Q22"/>
  <c r="S21"/>
  <c r="Z21" s="1"/>
  <c r="AF21" s="1"/>
  <c r="Q21"/>
  <c r="Q20"/>
  <c r="S19"/>
  <c r="Z19" s="1"/>
  <c r="AF19" s="1"/>
  <c r="Q19"/>
  <c r="AG18"/>
  <c r="AH18" s="1"/>
  <c r="AF18"/>
  <c r="Z18"/>
  <c r="Q17"/>
  <c r="S16"/>
  <c r="Z16" s="1"/>
  <c r="AF16" s="1"/>
  <c r="Q16"/>
  <c r="S15"/>
  <c r="Z15" s="1"/>
  <c r="AF15" s="1"/>
  <c r="Q15"/>
  <c r="Q14"/>
  <c r="S13"/>
  <c r="Z13" s="1"/>
  <c r="AF13" s="1"/>
  <c r="Q13"/>
  <c r="Q12"/>
  <c r="Q11"/>
  <c r="S10"/>
  <c r="Z10" s="1"/>
  <c r="AF10" s="1"/>
  <c r="Q10"/>
  <c r="S9"/>
  <c r="U9" s="1"/>
  <c r="Q9"/>
  <c r="Q8"/>
  <c r="S7"/>
  <c r="Z7" s="1"/>
  <c r="AF7" s="1"/>
  <c r="Q7"/>
  <c r="AH14" i="895" l="1"/>
  <c r="AH73" s="1"/>
  <c r="AG73"/>
  <c r="AG73" i="894"/>
  <c r="AH8" i="890"/>
  <c r="AH73" s="1"/>
  <c r="AG73"/>
  <c r="AG73" i="889"/>
  <c r="AH7"/>
  <c r="AH73" s="1"/>
  <c r="AG29" i="888"/>
  <c r="AG73" s="1"/>
  <c r="AG12" i="887"/>
  <c r="AG73" i="885"/>
  <c r="AH73"/>
  <c r="AG7" i="884"/>
  <c r="AG73"/>
  <c r="AH7"/>
  <c r="AH73" s="1"/>
  <c r="AG7" i="883"/>
  <c r="AF73" i="882"/>
  <c r="AG7"/>
  <c r="AH8" i="881"/>
  <c r="AH73" s="1"/>
  <c r="AG73"/>
  <c r="Z73" i="880"/>
  <c r="AF73"/>
  <c r="AG73"/>
  <c r="AH73"/>
  <c r="AG38" i="879"/>
  <c r="AH38" s="1"/>
  <c r="AG71"/>
  <c r="AH71" s="1"/>
  <c r="AG70"/>
  <c r="AH70" s="1"/>
  <c r="U69"/>
  <c r="Z69"/>
  <c r="AF69" s="1"/>
  <c r="AF73" s="1"/>
  <c r="AG7"/>
  <c r="U69" i="878"/>
  <c r="AG69" s="1"/>
  <c r="AH69" s="1"/>
  <c r="S73"/>
  <c r="AG11"/>
  <c r="AH11" s="1"/>
  <c r="U71"/>
  <c r="AG71" s="1"/>
  <c r="AH71" s="1"/>
  <c r="AG7"/>
  <c r="AH7" s="1"/>
  <c r="AF73"/>
  <c r="Z73"/>
  <c r="U17" i="877"/>
  <c r="AG70"/>
  <c r="AH70" s="1"/>
  <c r="AG16"/>
  <c r="AH16" s="1"/>
  <c r="AG14"/>
  <c r="AH14" s="1"/>
  <c r="Z11"/>
  <c r="AF11" s="1"/>
  <c r="U11"/>
  <c r="AF7"/>
  <c r="S73"/>
  <c r="AG17"/>
  <c r="AH17" s="1"/>
  <c r="AG69"/>
  <c r="AH69" s="1"/>
  <c r="AG71"/>
  <c r="AH71" s="1"/>
  <c r="U14" i="876"/>
  <c r="AG14" s="1"/>
  <c r="AH14" s="1"/>
  <c r="AG8"/>
  <c r="AH8" s="1"/>
  <c r="AG71"/>
  <c r="AH71" s="1"/>
  <c r="AG69"/>
  <c r="AH69" s="1"/>
  <c r="AG70"/>
  <c r="AH70" s="1"/>
  <c r="Z73"/>
  <c r="AF7"/>
  <c r="AF73" s="1"/>
  <c r="U16" i="875"/>
  <c r="U12"/>
  <c r="AG12" s="1"/>
  <c r="AH12" s="1"/>
  <c r="U71"/>
  <c r="AG71" s="1"/>
  <c r="AH71" s="1"/>
  <c r="Z71"/>
  <c r="AF71" s="1"/>
  <c r="D73"/>
  <c r="E75" s="1"/>
  <c r="S70"/>
  <c r="U9"/>
  <c r="U19"/>
  <c r="AG19" s="1"/>
  <c r="AH19" s="1"/>
  <c r="U26"/>
  <c r="U30"/>
  <c r="AG30" s="1"/>
  <c r="AH30" s="1"/>
  <c r="U35"/>
  <c r="U41"/>
  <c r="AG41" s="1"/>
  <c r="AH41" s="1"/>
  <c r="U44"/>
  <c r="AG44" s="1"/>
  <c r="AH44" s="1"/>
  <c r="U55"/>
  <c r="AG55" s="1"/>
  <c r="AH55" s="1"/>
  <c r="U65"/>
  <c r="U7"/>
  <c r="AG7" s="1"/>
  <c r="AH7" s="1"/>
  <c r="U10"/>
  <c r="U27"/>
  <c r="U31"/>
  <c r="U38"/>
  <c r="AG38" s="1"/>
  <c r="AH38" s="1"/>
  <c r="U61"/>
  <c r="AG61" s="1"/>
  <c r="AH61" s="1"/>
  <c r="U22"/>
  <c r="U25"/>
  <c r="AG25" s="1"/>
  <c r="AH25" s="1"/>
  <c r="U29"/>
  <c r="AG29" s="1"/>
  <c r="AH29" s="1"/>
  <c r="U34"/>
  <c r="U37"/>
  <c r="U45"/>
  <c r="AG45" s="1"/>
  <c r="AH45" s="1"/>
  <c r="U46"/>
  <c r="U62"/>
  <c r="AG62" s="1"/>
  <c r="AH62" s="1"/>
  <c r="U63"/>
  <c r="AG46"/>
  <c r="AH46" s="1"/>
  <c r="U17"/>
  <c r="AG17" s="1"/>
  <c r="AH17" s="1"/>
  <c r="U21"/>
  <c r="AG21" s="1"/>
  <c r="AH21" s="1"/>
  <c r="U33"/>
  <c r="AG33" s="1"/>
  <c r="AH33" s="1"/>
  <c r="U49"/>
  <c r="AG49" s="1"/>
  <c r="AH49" s="1"/>
  <c r="U53"/>
  <c r="AG53" s="1"/>
  <c r="AH53" s="1"/>
  <c r="U59"/>
  <c r="AG59" s="1"/>
  <c r="AH59" s="1"/>
  <c r="U67"/>
  <c r="AG67" s="1"/>
  <c r="AH67" s="1"/>
  <c r="U68"/>
  <c r="AG68" s="1"/>
  <c r="AH68" s="1"/>
  <c r="AG23"/>
  <c r="AH23" s="1"/>
  <c r="AG35"/>
  <c r="AH35" s="1"/>
  <c r="Z50"/>
  <c r="AF50" s="1"/>
  <c r="AG50" s="1"/>
  <c r="AH50" s="1"/>
  <c r="AG63"/>
  <c r="AH63" s="1"/>
  <c r="AG11"/>
  <c r="AH11" s="1"/>
  <c r="AG26"/>
  <c r="AH26" s="1"/>
  <c r="AG27"/>
  <c r="AH27" s="1"/>
  <c r="AG31"/>
  <c r="AH31" s="1"/>
  <c r="AG39"/>
  <c r="AH39" s="1"/>
  <c r="AG51"/>
  <c r="AH51" s="1"/>
  <c r="AG34"/>
  <c r="AH34" s="1"/>
  <c r="AG54"/>
  <c r="AH54" s="1"/>
  <c r="AG9"/>
  <c r="AH9" s="1"/>
  <c r="AG10"/>
  <c r="AH10" s="1"/>
  <c r="AG37"/>
  <c r="AH37" s="1"/>
  <c r="U28"/>
  <c r="Z28"/>
  <c r="AF28" s="1"/>
  <c r="Z40"/>
  <c r="AF40" s="1"/>
  <c r="U40"/>
  <c r="AG22"/>
  <c r="AH22" s="1"/>
  <c r="Q73"/>
  <c r="E74" s="1"/>
  <c r="AG16"/>
  <c r="AH16" s="1"/>
  <c r="AG48"/>
  <c r="AH48" s="1"/>
  <c r="AG65"/>
  <c r="AH65" s="1"/>
  <c r="G73"/>
  <c r="Z8"/>
  <c r="AF8" s="1"/>
  <c r="AG8" s="1"/>
  <c r="AH8" s="1"/>
  <c r="Z13"/>
  <c r="AF13" s="1"/>
  <c r="Z15"/>
  <c r="AF15" s="1"/>
  <c r="AG15" s="1"/>
  <c r="AH15" s="1"/>
  <c r="Z20"/>
  <c r="AF20" s="1"/>
  <c r="AG20" s="1"/>
  <c r="AH20" s="1"/>
  <c r="Z24"/>
  <c r="AF24" s="1"/>
  <c r="AG24" s="1"/>
  <c r="AH24" s="1"/>
  <c r="Z32"/>
  <c r="AF32" s="1"/>
  <c r="AG32" s="1"/>
  <c r="AH32" s="1"/>
  <c r="Z36"/>
  <c r="AF36" s="1"/>
  <c r="AG36" s="1"/>
  <c r="AH36" s="1"/>
  <c r="Z42"/>
  <c r="AF42" s="1"/>
  <c r="AG42" s="1"/>
  <c r="AH42" s="1"/>
  <c r="Z47"/>
  <c r="AF47" s="1"/>
  <c r="AG47" s="1"/>
  <c r="AH47" s="1"/>
  <c r="Z52"/>
  <c r="AF52" s="1"/>
  <c r="AG52" s="1"/>
  <c r="AH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Z69"/>
  <c r="AF69" s="1"/>
  <c r="AG69" s="1"/>
  <c r="AH69" s="1"/>
  <c r="S14"/>
  <c r="X118" i="874"/>
  <c r="R80"/>
  <c r="G73"/>
  <c r="Q10"/>
  <c r="Q73" s="1"/>
  <c r="E74" s="1"/>
  <c r="U17"/>
  <c r="U21"/>
  <c r="AG21" s="1"/>
  <c r="AH21" s="1"/>
  <c r="U31"/>
  <c r="Z34"/>
  <c r="AF34" s="1"/>
  <c r="U56"/>
  <c r="AG56" s="1"/>
  <c r="AH56" s="1"/>
  <c r="U60"/>
  <c r="AG60" s="1"/>
  <c r="AH60" s="1"/>
  <c r="Z61"/>
  <c r="AF61" s="1"/>
  <c r="U8"/>
  <c r="U39"/>
  <c r="AG39" s="1"/>
  <c r="AH39" s="1"/>
  <c r="U47"/>
  <c r="AG47" s="1"/>
  <c r="AH47" s="1"/>
  <c r="Z62"/>
  <c r="AF62" s="1"/>
  <c r="U65"/>
  <c r="U69"/>
  <c r="AG69" s="1"/>
  <c r="AH69" s="1"/>
  <c r="Z22"/>
  <c r="AF22" s="1"/>
  <c r="Z23"/>
  <c r="AF23" s="1"/>
  <c r="U57"/>
  <c r="AG57" s="1"/>
  <c r="AH57" s="1"/>
  <c r="U7"/>
  <c r="U10"/>
  <c r="AG10" s="1"/>
  <c r="AH10" s="1"/>
  <c r="Z35"/>
  <c r="AF35" s="1"/>
  <c r="AG35" s="1"/>
  <c r="AH35" s="1"/>
  <c r="U38"/>
  <c r="AG38" s="1"/>
  <c r="AH38" s="1"/>
  <c r="U54"/>
  <c r="AG54" s="1"/>
  <c r="AH54" s="1"/>
  <c r="AG45"/>
  <c r="AH45" s="1"/>
  <c r="AG26"/>
  <c r="AH26" s="1"/>
  <c r="AG8"/>
  <c r="AH8" s="1"/>
  <c r="AG31"/>
  <c r="AH31" s="1"/>
  <c r="AG67"/>
  <c r="AH67" s="1"/>
  <c r="AG23"/>
  <c r="AH23" s="1"/>
  <c r="AG49"/>
  <c r="AH49" s="1"/>
  <c r="Z12"/>
  <c r="AF12" s="1"/>
  <c r="AG12" s="1"/>
  <c r="AH12" s="1"/>
  <c r="Z19"/>
  <c r="AF19" s="1"/>
  <c r="AG19" s="1"/>
  <c r="AH19" s="1"/>
  <c r="U25"/>
  <c r="AG25" s="1"/>
  <c r="AH25" s="1"/>
  <c r="Z26"/>
  <c r="AF26" s="1"/>
  <c r="Z27"/>
  <c r="AF27" s="1"/>
  <c r="AG27" s="1"/>
  <c r="AH27" s="1"/>
  <c r="U42"/>
  <c r="AG42" s="1"/>
  <c r="AH42" s="1"/>
  <c r="Z44"/>
  <c r="AF44" s="1"/>
  <c r="AG44" s="1"/>
  <c r="AH44" s="1"/>
  <c r="Z45"/>
  <c r="AF45" s="1"/>
  <c r="AG62"/>
  <c r="AH62" s="1"/>
  <c r="AG17"/>
  <c r="AH17" s="1"/>
  <c r="AG30"/>
  <c r="AH30" s="1"/>
  <c r="AG53"/>
  <c r="AH53" s="1"/>
  <c r="AG65"/>
  <c r="AH65" s="1"/>
  <c r="U16"/>
  <c r="AG16" s="1"/>
  <c r="AH16" s="1"/>
  <c r="U37"/>
  <c r="AG37" s="1"/>
  <c r="AH37" s="1"/>
  <c r="U52"/>
  <c r="AG52" s="1"/>
  <c r="AH52" s="1"/>
  <c r="U64"/>
  <c r="AG64" s="1"/>
  <c r="AH64" s="1"/>
  <c r="Z67"/>
  <c r="AF67" s="1"/>
  <c r="Z29"/>
  <c r="AF29" s="1"/>
  <c r="U29"/>
  <c r="AG22"/>
  <c r="AH22" s="1"/>
  <c r="AG48"/>
  <c r="AH48" s="1"/>
  <c r="AG61"/>
  <c r="AH61" s="1"/>
  <c r="AG11"/>
  <c r="AH11" s="1"/>
  <c r="AG34"/>
  <c r="AH34" s="1"/>
  <c r="Z40"/>
  <c r="AF40" s="1"/>
  <c r="AG40" s="1"/>
  <c r="AH40" s="1"/>
  <c r="AF7"/>
  <c r="U9"/>
  <c r="AG9" s="1"/>
  <c r="AH9" s="1"/>
  <c r="U13"/>
  <c r="AG13" s="1"/>
  <c r="AH13" s="1"/>
  <c r="S14"/>
  <c r="U15"/>
  <c r="AG15" s="1"/>
  <c r="AH15" s="1"/>
  <c r="U20"/>
  <c r="AG20" s="1"/>
  <c r="AH20" s="1"/>
  <c r="U24"/>
  <c r="AG24" s="1"/>
  <c r="AH24" s="1"/>
  <c r="S28"/>
  <c r="U32"/>
  <c r="AG32" s="1"/>
  <c r="AH32" s="1"/>
  <c r="U36"/>
  <c r="AG36" s="1"/>
  <c r="AH36" s="1"/>
  <c r="U41"/>
  <c r="AG41" s="1"/>
  <c r="AH41" s="1"/>
  <c r="U46"/>
  <c r="AG46" s="1"/>
  <c r="AH46" s="1"/>
  <c r="U51"/>
  <c r="AG51" s="1"/>
  <c r="AH51" s="1"/>
  <c r="U55"/>
  <c r="AG55" s="1"/>
  <c r="AH55" s="1"/>
  <c r="U59"/>
  <c r="AG59" s="1"/>
  <c r="AH59" s="1"/>
  <c r="U63"/>
  <c r="AG63" s="1"/>
  <c r="AH63" s="1"/>
  <c r="U68"/>
  <c r="AG68" s="1"/>
  <c r="AH68" s="1"/>
  <c r="Z50"/>
  <c r="AF50" s="1"/>
  <c r="AG50" s="1"/>
  <c r="AH50" s="1"/>
  <c r="X118" i="873"/>
  <c r="U70"/>
  <c r="U10"/>
  <c r="AG10" s="1"/>
  <c r="AH10" s="1"/>
  <c r="U15"/>
  <c r="AG15" s="1"/>
  <c r="AH15" s="1"/>
  <c r="U24"/>
  <c r="AG24" s="1"/>
  <c r="AH24" s="1"/>
  <c r="Z25"/>
  <c r="AF25" s="1"/>
  <c r="Z26"/>
  <c r="AF26" s="1"/>
  <c r="AG26" s="1"/>
  <c r="AH26" s="1"/>
  <c r="U34"/>
  <c r="U55"/>
  <c r="AG55" s="1"/>
  <c r="AH55" s="1"/>
  <c r="U8"/>
  <c r="U20"/>
  <c r="AG20" s="1"/>
  <c r="AH20" s="1"/>
  <c r="U30"/>
  <c r="AG30" s="1"/>
  <c r="AH30" s="1"/>
  <c r="U39"/>
  <c r="AG39" s="1"/>
  <c r="AH39" s="1"/>
  <c r="U42"/>
  <c r="AG42" s="1"/>
  <c r="AH42" s="1"/>
  <c r="U46"/>
  <c r="AG46" s="1"/>
  <c r="AH46" s="1"/>
  <c r="U51"/>
  <c r="AG51" s="1"/>
  <c r="AH51" s="1"/>
  <c r="U60"/>
  <c r="U65"/>
  <c r="U9"/>
  <c r="AG9" s="1"/>
  <c r="AH9" s="1"/>
  <c r="U13"/>
  <c r="AG13" s="1"/>
  <c r="AH13" s="1"/>
  <c r="U41"/>
  <c r="U44"/>
  <c r="AG44" s="1"/>
  <c r="AH44" s="1"/>
  <c r="U47"/>
  <c r="AG47" s="1"/>
  <c r="AH47" s="1"/>
  <c r="U48"/>
  <c r="AG48" s="1"/>
  <c r="AH48" s="1"/>
  <c r="U59"/>
  <c r="AG59" s="1"/>
  <c r="AH59" s="1"/>
  <c r="U64"/>
  <c r="AG64" s="1"/>
  <c r="AH64" s="1"/>
  <c r="Q73"/>
  <c r="E74" s="1"/>
  <c r="AG22"/>
  <c r="AH22" s="1"/>
  <c r="AG65"/>
  <c r="AH65" s="1"/>
  <c r="AG32"/>
  <c r="AH32" s="1"/>
  <c r="AG52"/>
  <c r="AH52" s="1"/>
  <c r="AG53"/>
  <c r="AH53" s="1"/>
  <c r="Z57"/>
  <c r="AF57" s="1"/>
  <c r="AG57" s="1"/>
  <c r="AH57" s="1"/>
  <c r="Z16"/>
  <c r="AF16" s="1"/>
  <c r="AG16" s="1"/>
  <c r="AH16" s="1"/>
  <c r="Z17"/>
  <c r="AF17" s="1"/>
  <c r="AG17" s="1"/>
  <c r="AH17" s="1"/>
  <c r="Z21"/>
  <c r="AF21" s="1"/>
  <c r="AG21" s="1"/>
  <c r="AH21" s="1"/>
  <c r="Z22"/>
  <c r="AF22" s="1"/>
  <c r="Z35"/>
  <c r="AF35" s="1"/>
  <c r="AG35" s="1"/>
  <c r="AH35" s="1"/>
  <c r="Z36"/>
  <c r="AF36" s="1"/>
  <c r="AG36" s="1"/>
  <c r="AH36" s="1"/>
  <c r="Z56"/>
  <c r="AF56" s="1"/>
  <c r="AG61"/>
  <c r="AH61" s="1"/>
  <c r="Z71"/>
  <c r="AF71" s="1"/>
  <c r="AG71" s="1"/>
  <c r="AH71" s="1"/>
  <c r="U7"/>
  <c r="U63"/>
  <c r="AG63" s="1"/>
  <c r="AH63" s="1"/>
  <c r="U68"/>
  <c r="AG68" s="1"/>
  <c r="AH68" s="1"/>
  <c r="U69"/>
  <c r="AG69" s="1"/>
  <c r="AH69" s="1"/>
  <c r="AF7"/>
  <c r="U11"/>
  <c r="Z11"/>
  <c r="AF11" s="1"/>
  <c r="S73"/>
  <c r="AG8"/>
  <c r="AH8" s="1"/>
  <c r="AG34"/>
  <c r="AH34" s="1"/>
  <c r="AG41"/>
  <c r="AH41" s="1"/>
  <c r="AG70"/>
  <c r="AH70" s="1"/>
  <c r="AG60"/>
  <c r="AH60" s="1"/>
  <c r="AG25"/>
  <c r="AH25" s="1"/>
  <c r="AG31"/>
  <c r="AH31" s="1"/>
  <c r="AG56"/>
  <c r="AH56" s="1"/>
  <c r="Z12"/>
  <c r="AF12" s="1"/>
  <c r="AG12" s="1"/>
  <c r="AH12" s="1"/>
  <c r="Z14"/>
  <c r="AF14" s="1"/>
  <c r="AG14" s="1"/>
  <c r="AH14" s="1"/>
  <c r="Z19"/>
  <c r="AF19" s="1"/>
  <c r="AG19" s="1"/>
  <c r="AH19" s="1"/>
  <c r="Z23"/>
  <c r="AF23" s="1"/>
  <c r="AG23" s="1"/>
  <c r="AH23" s="1"/>
  <c r="Z27"/>
  <c r="AF27" s="1"/>
  <c r="AG27" s="1"/>
  <c r="AH27" s="1"/>
  <c r="Z28"/>
  <c r="AF28" s="1"/>
  <c r="AG28" s="1"/>
  <c r="AH28" s="1"/>
  <c r="Z29"/>
  <c r="AF29" s="1"/>
  <c r="AG29" s="1"/>
  <c r="AH29" s="1"/>
  <c r="Z33"/>
  <c r="AF33" s="1"/>
  <c r="AG33" s="1"/>
  <c r="AH33" s="1"/>
  <c r="Z37"/>
  <c r="AF37" s="1"/>
  <c r="AG37" s="1"/>
  <c r="AH37" s="1"/>
  <c r="Z38"/>
  <c r="AF38" s="1"/>
  <c r="AG38" s="1"/>
  <c r="AH38" s="1"/>
  <c r="Z40"/>
  <c r="AF40" s="1"/>
  <c r="AG40" s="1"/>
  <c r="AH40" s="1"/>
  <c r="Z45"/>
  <c r="AF45" s="1"/>
  <c r="AG45" s="1"/>
  <c r="AH45" s="1"/>
  <c r="Z49"/>
  <c r="AF49" s="1"/>
  <c r="AG49" s="1"/>
  <c r="AH49" s="1"/>
  <c r="Z50"/>
  <c r="AF50" s="1"/>
  <c r="AG50" s="1"/>
  <c r="AH50" s="1"/>
  <c r="Z54"/>
  <c r="AF54" s="1"/>
  <c r="AG54" s="1"/>
  <c r="AH54" s="1"/>
  <c r="Z62"/>
  <c r="AF62" s="1"/>
  <c r="AG62" s="1"/>
  <c r="AH62" s="1"/>
  <c r="Z67"/>
  <c r="AF67" s="1"/>
  <c r="AG67" s="1"/>
  <c r="AH67" s="1"/>
  <c r="R73"/>
  <c r="D76" s="1"/>
  <c r="X118" i="872"/>
  <c r="R73"/>
  <c r="D76" s="1"/>
  <c r="S14"/>
  <c r="Z14" s="1"/>
  <c r="AF14" s="1"/>
  <c r="U8"/>
  <c r="AG8" s="1"/>
  <c r="AH8" s="1"/>
  <c r="Z63"/>
  <c r="AF63" s="1"/>
  <c r="AG63" s="1"/>
  <c r="AH63" s="1"/>
  <c r="U33"/>
  <c r="AG33" s="1"/>
  <c r="AH33" s="1"/>
  <c r="Z52"/>
  <c r="AF52" s="1"/>
  <c r="Z64"/>
  <c r="AF64" s="1"/>
  <c r="Z9"/>
  <c r="AF9" s="1"/>
  <c r="AG9" s="1"/>
  <c r="AH9" s="1"/>
  <c r="U13"/>
  <c r="AG13" s="1"/>
  <c r="AH13" s="1"/>
  <c r="Z15"/>
  <c r="AF15" s="1"/>
  <c r="Z16"/>
  <c r="AF16" s="1"/>
  <c r="AG16" s="1"/>
  <c r="AH16" s="1"/>
  <c r="AG24"/>
  <c r="AH24" s="1"/>
  <c r="Z25"/>
  <c r="AF25" s="1"/>
  <c r="AG37"/>
  <c r="AH37" s="1"/>
  <c r="U41"/>
  <c r="U46"/>
  <c r="AG46" s="1"/>
  <c r="AH46" s="1"/>
  <c r="U49"/>
  <c r="AG49" s="1"/>
  <c r="AH49" s="1"/>
  <c r="U50"/>
  <c r="AG64"/>
  <c r="AH64" s="1"/>
  <c r="Q73"/>
  <c r="E74" s="1"/>
  <c r="AG52"/>
  <c r="AH52" s="1"/>
  <c r="Z10"/>
  <c r="AF10" s="1"/>
  <c r="AG10" s="1"/>
  <c r="AH10" s="1"/>
  <c r="AG25"/>
  <c r="AH25" s="1"/>
  <c r="U32"/>
  <c r="U35"/>
  <c r="AG35" s="1"/>
  <c r="AH35" s="1"/>
  <c r="U42"/>
  <c r="AG42" s="1"/>
  <c r="AH42" s="1"/>
  <c r="U47"/>
  <c r="AG47" s="1"/>
  <c r="AH47" s="1"/>
  <c r="Z51"/>
  <c r="AF51" s="1"/>
  <c r="U59"/>
  <c r="U62"/>
  <c r="AG62" s="1"/>
  <c r="AH62" s="1"/>
  <c r="U68"/>
  <c r="AG68" s="1"/>
  <c r="AH68" s="1"/>
  <c r="U69"/>
  <c r="AG69" s="1"/>
  <c r="AH69" s="1"/>
  <c r="AG21"/>
  <c r="AH21" s="1"/>
  <c r="AG56"/>
  <c r="AH56" s="1"/>
  <c r="AG60"/>
  <c r="AH60" s="1"/>
  <c r="U19"/>
  <c r="AG19" s="1"/>
  <c r="AH19" s="1"/>
  <c r="U27"/>
  <c r="AG27" s="1"/>
  <c r="AH27" s="1"/>
  <c r="U31"/>
  <c r="AG31" s="1"/>
  <c r="AH31" s="1"/>
  <c r="U39"/>
  <c r="AG39" s="1"/>
  <c r="AH39" s="1"/>
  <c r="U40"/>
  <c r="AG40" s="1"/>
  <c r="AH40" s="1"/>
  <c r="U45"/>
  <c r="AG45" s="1"/>
  <c r="AH45" s="1"/>
  <c r="U54"/>
  <c r="AG54" s="1"/>
  <c r="AH54" s="1"/>
  <c r="U70"/>
  <c r="AG70" s="1"/>
  <c r="AH70" s="1"/>
  <c r="U71"/>
  <c r="AG71" s="1"/>
  <c r="AH71" s="1"/>
  <c r="AG32"/>
  <c r="AH32" s="1"/>
  <c r="AG55"/>
  <c r="AH55" s="1"/>
  <c r="AG59"/>
  <c r="AH59" s="1"/>
  <c r="AG15"/>
  <c r="AH15" s="1"/>
  <c r="AG23"/>
  <c r="AH23" s="1"/>
  <c r="AG36"/>
  <c r="AH36" s="1"/>
  <c r="AG51"/>
  <c r="AH51" s="1"/>
  <c r="AG41"/>
  <c r="AH41" s="1"/>
  <c r="AG20"/>
  <c r="AH20" s="1"/>
  <c r="AG50"/>
  <c r="AH50" s="1"/>
  <c r="R80"/>
  <c r="Z57"/>
  <c r="AF57" s="1"/>
  <c r="AG57" s="1"/>
  <c r="AH57" s="1"/>
  <c r="Z7"/>
  <c r="U11"/>
  <c r="AG11" s="1"/>
  <c r="AH11" s="1"/>
  <c r="U12"/>
  <c r="AG12" s="1"/>
  <c r="AH12" s="1"/>
  <c r="U17"/>
  <c r="AG17" s="1"/>
  <c r="AH17" s="1"/>
  <c r="U22"/>
  <c r="AG22" s="1"/>
  <c r="AH22" s="1"/>
  <c r="U26"/>
  <c r="AG26" s="1"/>
  <c r="AH26" s="1"/>
  <c r="U28"/>
  <c r="AG28" s="1"/>
  <c r="AH28" s="1"/>
  <c r="U30"/>
  <c r="AG30" s="1"/>
  <c r="AH30" s="1"/>
  <c r="U34"/>
  <c r="AG34" s="1"/>
  <c r="AH34" s="1"/>
  <c r="U38"/>
  <c r="AG38" s="1"/>
  <c r="AH38" s="1"/>
  <c r="U44"/>
  <c r="AG44" s="1"/>
  <c r="AH44" s="1"/>
  <c r="U48"/>
  <c r="AG48" s="1"/>
  <c r="AH48" s="1"/>
  <c r="U53"/>
  <c r="AG53" s="1"/>
  <c r="AH53" s="1"/>
  <c r="U61"/>
  <c r="AG61" s="1"/>
  <c r="AH61" s="1"/>
  <c r="U65"/>
  <c r="AG65" s="1"/>
  <c r="AH65" s="1"/>
  <c r="U67"/>
  <c r="AG67" s="1"/>
  <c r="AH67" s="1"/>
  <c r="Z29"/>
  <c r="AF29" s="1"/>
  <c r="AG29" s="1"/>
  <c r="AH29" s="1"/>
  <c r="C73" i="871"/>
  <c r="U70"/>
  <c r="AG70" s="1"/>
  <c r="AH70" s="1"/>
  <c r="Z71"/>
  <c r="AF71" s="1"/>
  <c r="U71"/>
  <c r="AG71" s="1"/>
  <c r="AH71" s="1"/>
  <c r="Q73"/>
  <c r="E74" s="1"/>
  <c r="Z7"/>
  <c r="AF7" s="1"/>
  <c r="Z8"/>
  <c r="AF8" s="1"/>
  <c r="AG8" s="1"/>
  <c r="AH8" s="1"/>
  <c r="Z9"/>
  <c r="AF9" s="1"/>
  <c r="U21"/>
  <c r="AG21" s="1"/>
  <c r="AH21" s="1"/>
  <c r="Z36"/>
  <c r="AF36" s="1"/>
  <c r="U49"/>
  <c r="AG49" s="1"/>
  <c r="AH49" s="1"/>
  <c r="U15"/>
  <c r="AG15" s="1"/>
  <c r="AH15" s="1"/>
  <c r="U19"/>
  <c r="Z22"/>
  <c r="AF22" s="1"/>
  <c r="AG22" s="1"/>
  <c r="AH22" s="1"/>
  <c r="Z37"/>
  <c r="AF37" s="1"/>
  <c r="U53"/>
  <c r="Z16"/>
  <c r="AF16" s="1"/>
  <c r="AG16" s="1"/>
  <c r="AH16" s="1"/>
  <c r="U17"/>
  <c r="AG17" s="1"/>
  <c r="AH17" s="1"/>
  <c r="Z23"/>
  <c r="AF23" s="1"/>
  <c r="AG23" s="1"/>
  <c r="AH23" s="1"/>
  <c r="U26"/>
  <c r="AG26" s="1"/>
  <c r="AH26" s="1"/>
  <c r="U32"/>
  <c r="AG32" s="1"/>
  <c r="AH32" s="1"/>
  <c r="U35"/>
  <c r="AG35" s="1"/>
  <c r="AH35" s="1"/>
  <c r="U42"/>
  <c r="AG42" s="1"/>
  <c r="AH42" s="1"/>
  <c r="U47"/>
  <c r="AG47" s="1"/>
  <c r="AH47" s="1"/>
  <c r="U54"/>
  <c r="AG54" s="1"/>
  <c r="AH54" s="1"/>
  <c r="AG37"/>
  <c r="AH37" s="1"/>
  <c r="U57"/>
  <c r="AG57" s="1"/>
  <c r="AH57" s="1"/>
  <c r="AG19"/>
  <c r="AH19" s="1"/>
  <c r="AG27"/>
  <c r="AH27" s="1"/>
  <c r="AG33"/>
  <c r="AH33" s="1"/>
  <c r="AG9"/>
  <c r="AH9" s="1"/>
  <c r="AG61"/>
  <c r="AH61" s="1"/>
  <c r="AG62"/>
  <c r="AH62" s="1"/>
  <c r="U64"/>
  <c r="AG64" s="1"/>
  <c r="AH64" s="1"/>
  <c r="Z65"/>
  <c r="AF65" s="1"/>
  <c r="AG65" s="1"/>
  <c r="AH65" s="1"/>
  <c r="Z67"/>
  <c r="AF67" s="1"/>
  <c r="AG67" s="1"/>
  <c r="AH67" s="1"/>
  <c r="S73"/>
  <c r="U25"/>
  <c r="AG25" s="1"/>
  <c r="AH25" s="1"/>
  <c r="U31"/>
  <c r="AG31" s="1"/>
  <c r="AH31" s="1"/>
  <c r="U39"/>
  <c r="AG39" s="1"/>
  <c r="AH39" s="1"/>
  <c r="U40"/>
  <c r="U45"/>
  <c r="AG45" s="1"/>
  <c r="AH45" s="1"/>
  <c r="U52"/>
  <c r="AG52" s="1"/>
  <c r="AH52" s="1"/>
  <c r="R80"/>
  <c r="AG13"/>
  <c r="AH13" s="1"/>
  <c r="AG41"/>
  <c r="AH41" s="1"/>
  <c r="AG46"/>
  <c r="AH46" s="1"/>
  <c r="AG53"/>
  <c r="AH53" s="1"/>
  <c r="AG60"/>
  <c r="AH60" s="1"/>
  <c r="AG36"/>
  <c r="AH36" s="1"/>
  <c r="AG40"/>
  <c r="AH40" s="1"/>
  <c r="Z28"/>
  <c r="AF28" s="1"/>
  <c r="AG28" s="1"/>
  <c r="AH28" s="1"/>
  <c r="Z29"/>
  <c r="AF29" s="1"/>
  <c r="AG29" s="1"/>
  <c r="AH29" s="1"/>
  <c r="Z50"/>
  <c r="AF50" s="1"/>
  <c r="AG50" s="1"/>
  <c r="AH50" s="1"/>
  <c r="U10"/>
  <c r="AG10" s="1"/>
  <c r="AH10" s="1"/>
  <c r="U11"/>
  <c r="AG11" s="1"/>
  <c r="AH11" s="1"/>
  <c r="U12"/>
  <c r="AG12" s="1"/>
  <c r="AH12" s="1"/>
  <c r="U14"/>
  <c r="AG14" s="1"/>
  <c r="AH14" s="1"/>
  <c r="U20"/>
  <c r="AG20" s="1"/>
  <c r="AH20" s="1"/>
  <c r="U24"/>
  <c r="AG24" s="1"/>
  <c r="AH24" s="1"/>
  <c r="U30"/>
  <c r="AG30" s="1"/>
  <c r="AH30" s="1"/>
  <c r="U34"/>
  <c r="AG34" s="1"/>
  <c r="AH34" s="1"/>
  <c r="U38"/>
  <c r="AG38" s="1"/>
  <c r="AH38" s="1"/>
  <c r="U44"/>
  <c r="AG44" s="1"/>
  <c r="AH44" s="1"/>
  <c r="U48"/>
  <c r="AG48" s="1"/>
  <c r="AH48" s="1"/>
  <c r="U51"/>
  <c r="AG51" s="1"/>
  <c r="AH51" s="1"/>
  <c r="U55"/>
  <c r="AG55" s="1"/>
  <c r="AH55" s="1"/>
  <c r="U59"/>
  <c r="AG59" s="1"/>
  <c r="AH59" s="1"/>
  <c r="U63"/>
  <c r="AG63" s="1"/>
  <c r="AH63" s="1"/>
  <c r="U68"/>
  <c r="AG68" s="1"/>
  <c r="AH68" s="1"/>
  <c r="U69"/>
  <c r="AG69" s="1"/>
  <c r="AH69" s="1"/>
  <c r="R11" i="692"/>
  <c r="R17"/>
  <c r="S8" i="870"/>
  <c r="U8" s="1"/>
  <c r="D14" i="692"/>
  <c r="G73" i="870"/>
  <c r="G50" i="692"/>
  <c r="U10" i="870"/>
  <c r="U41"/>
  <c r="AG41" s="1"/>
  <c r="AH41" s="1"/>
  <c r="U46"/>
  <c r="AG46" s="1"/>
  <c r="AH46" s="1"/>
  <c r="U13"/>
  <c r="U35"/>
  <c r="U38"/>
  <c r="AG38" s="1"/>
  <c r="AH38" s="1"/>
  <c r="U40"/>
  <c r="AG40" s="1"/>
  <c r="AH40" s="1"/>
  <c r="U51"/>
  <c r="AG51" s="1"/>
  <c r="AH51" s="1"/>
  <c r="U68"/>
  <c r="AG68" s="1"/>
  <c r="AH68" s="1"/>
  <c r="U19"/>
  <c r="AG19" s="1"/>
  <c r="AH19" s="1"/>
  <c r="U45"/>
  <c r="AG45" s="1"/>
  <c r="AH45" s="1"/>
  <c r="U48"/>
  <c r="AG48" s="1"/>
  <c r="AH48" s="1"/>
  <c r="U50"/>
  <c r="AG50" s="1"/>
  <c r="AH50" s="1"/>
  <c r="X118"/>
  <c r="R80"/>
  <c r="T74"/>
  <c r="U27"/>
  <c r="AG27" s="1"/>
  <c r="AH27" s="1"/>
  <c r="U67"/>
  <c r="U12"/>
  <c r="AG12" s="1"/>
  <c r="AH12" s="1"/>
  <c r="Q73"/>
  <c r="E74" s="1"/>
  <c r="U7"/>
  <c r="AG7" s="1"/>
  <c r="AH7" s="1"/>
  <c r="U11"/>
  <c r="AG11" s="1"/>
  <c r="AH11" s="1"/>
  <c r="U24"/>
  <c r="U63"/>
  <c r="AG63" s="1"/>
  <c r="AH63" s="1"/>
  <c r="U20"/>
  <c r="AG20" s="1"/>
  <c r="AH20" s="1"/>
  <c r="U21"/>
  <c r="AG21" s="1"/>
  <c r="AH21" s="1"/>
  <c r="U25"/>
  <c r="AG25" s="1"/>
  <c r="AH25" s="1"/>
  <c r="U30"/>
  <c r="AG30" s="1"/>
  <c r="AH30" s="1"/>
  <c r="U31"/>
  <c r="AG31" s="1"/>
  <c r="AH31" s="1"/>
  <c r="U53"/>
  <c r="AG53" s="1"/>
  <c r="AH53" s="1"/>
  <c r="U62"/>
  <c r="AG62" s="1"/>
  <c r="AH62" s="1"/>
  <c r="U65"/>
  <c r="AG65" s="1"/>
  <c r="AH65" s="1"/>
  <c r="U71"/>
  <c r="AG71" s="1"/>
  <c r="AH71" s="1"/>
  <c r="U28"/>
  <c r="U29"/>
  <c r="AG29" s="1"/>
  <c r="AH29" s="1"/>
  <c r="AG36"/>
  <c r="AH36" s="1"/>
  <c r="U15"/>
  <c r="AG15" s="1"/>
  <c r="AH15" s="1"/>
  <c r="U16"/>
  <c r="AG16" s="1"/>
  <c r="AH16" s="1"/>
  <c r="U23"/>
  <c r="AG23" s="1"/>
  <c r="AH23" s="1"/>
  <c r="U33"/>
  <c r="AG33" s="1"/>
  <c r="AH33" s="1"/>
  <c r="U34"/>
  <c r="AG34" s="1"/>
  <c r="AH34" s="1"/>
  <c r="U44"/>
  <c r="AG44" s="1"/>
  <c r="AH44" s="1"/>
  <c r="U54"/>
  <c r="AG54" s="1"/>
  <c r="AH54" s="1"/>
  <c r="U55"/>
  <c r="AG55" s="1"/>
  <c r="AH55" s="1"/>
  <c r="U61"/>
  <c r="AG61" s="1"/>
  <c r="AH61" s="1"/>
  <c r="U70"/>
  <c r="AG70" s="1"/>
  <c r="AH70" s="1"/>
  <c r="AG13"/>
  <c r="AH13" s="1"/>
  <c r="AG39"/>
  <c r="AH39" s="1"/>
  <c r="AG49"/>
  <c r="AH49" s="1"/>
  <c r="AG59"/>
  <c r="AH59" s="1"/>
  <c r="AG67"/>
  <c r="AH67" s="1"/>
  <c r="AG24"/>
  <c r="AH24" s="1"/>
  <c r="AG35"/>
  <c r="AH35" s="1"/>
  <c r="AG10"/>
  <c r="AH10" s="1"/>
  <c r="AG28"/>
  <c r="AH28" s="1"/>
  <c r="Z8"/>
  <c r="AF8" s="1"/>
  <c r="S14"/>
  <c r="S73" s="1"/>
  <c r="Z9"/>
  <c r="AF9" s="1"/>
  <c r="AG9" s="1"/>
  <c r="AH9" s="1"/>
  <c r="Z17"/>
  <c r="AF17" s="1"/>
  <c r="AG17" s="1"/>
  <c r="AH17" s="1"/>
  <c r="Z22"/>
  <c r="AF22" s="1"/>
  <c r="AG22" s="1"/>
  <c r="AH22" s="1"/>
  <c r="Z26"/>
  <c r="AF26" s="1"/>
  <c r="AG26" s="1"/>
  <c r="AH26" s="1"/>
  <c r="Z32"/>
  <c r="AF32" s="1"/>
  <c r="AG32" s="1"/>
  <c r="AH32" s="1"/>
  <c r="Z37"/>
  <c r="AF37" s="1"/>
  <c r="AG37" s="1"/>
  <c r="AH37" s="1"/>
  <c r="Z42"/>
  <c r="AF42" s="1"/>
  <c r="AG42" s="1"/>
  <c r="AH42" s="1"/>
  <c r="Z47"/>
  <c r="AF47" s="1"/>
  <c r="AG47" s="1"/>
  <c r="AH47" s="1"/>
  <c r="Z52"/>
  <c r="AF52" s="1"/>
  <c r="AG52" s="1"/>
  <c r="AH52" s="1"/>
  <c r="Z56"/>
  <c r="AF56" s="1"/>
  <c r="AG56" s="1"/>
  <c r="AH56" s="1"/>
  <c r="Z57"/>
  <c r="AF57" s="1"/>
  <c r="AG57" s="1"/>
  <c r="AH57" s="1"/>
  <c r="Z60"/>
  <c r="AF60" s="1"/>
  <c r="AG60" s="1"/>
  <c r="AH60" s="1"/>
  <c r="Z64"/>
  <c r="AF64" s="1"/>
  <c r="AG64" s="1"/>
  <c r="AH64" s="1"/>
  <c r="Z69"/>
  <c r="AF69" s="1"/>
  <c r="AG69" s="1"/>
  <c r="AH69" s="1"/>
  <c r="R73"/>
  <c r="D76" s="1"/>
  <c r="AH29" i="888" l="1"/>
  <c r="AH73" s="1"/>
  <c r="AH12" i="887"/>
  <c r="AH73" s="1"/>
  <c r="AG73"/>
  <c r="AG73" i="883"/>
  <c r="AH7"/>
  <c r="AH73" s="1"/>
  <c r="AH7" i="882"/>
  <c r="AH73" s="1"/>
  <c r="AG73"/>
  <c r="AG69" i="879"/>
  <c r="AH69" s="1"/>
  <c r="Z73"/>
  <c r="U73"/>
  <c r="AH7"/>
  <c r="AG73"/>
  <c r="AH73" i="878"/>
  <c r="U73"/>
  <c r="AG73"/>
  <c r="Z73" i="877"/>
  <c r="AG11"/>
  <c r="AH11" s="1"/>
  <c r="U73"/>
  <c r="AF73"/>
  <c r="AG7"/>
  <c r="U73" i="876"/>
  <c r="AG7"/>
  <c r="Z70" i="875"/>
  <c r="AF70" s="1"/>
  <c r="U70"/>
  <c r="AG28"/>
  <c r="AH28" s="1"/>
  <c r="AG40"/>
  <c r="AH40" s="1"/>
  <c r="Z14"/>
  <c r="AF14" s="1"/>
  <c r="U14"/>
  <c r="AG13"/>
  <c r="AH13" s="1"/>
  <c r="S73"/>
  <c r="S73" i="874"/>
  <c r="AG29"/>
  <c r="AH29" s="1"/>
  <c r="U28"/>
  <c r="Z28"/>
  <c r="AF28" s="1"/>
  <c r="U14"/>
  <c r="Z14"/>
  <c r="AG7"/>
  <c r="AG11" i="873"/>
  <c r="AH11" s="1"/>
  <c r="AF73"/>
  <c r="U73"/>
  <c r="AG7"/>
  <c r="Z73"/>
  <c r="S73" i="872"/>
  <c r="U14"/>
  <c r="AG14" s="1"/>
  <c r="AH14" s="1"/>
  <c r="Z73"/>
  <c r="AF7"/>
  <c r="AF73" i="871"/>
  <c r="U73"/>
  <c r="AG7"/>
  <c r="Z73"/>
  <c r="AG8" i="870"/>
  <c r="Z14"/>
  <c r="AF14" s="1"/>
  <c r="AF73" s="1"/>
  <c r="U14"/>
  <c r="AH73" i="879" l="1"/>
  <c r="AG73" i="877"/>
  <c r="AH7"/>
  <c r="AH73" s="1"/>
  <c r="AG73" i="876"/>
  <c r="AH7"/>
  <c r="AH73" s="1"/>
  <c r="AF73" i="875"/>
  <c r="AG70"/>
  <c r="AH70" s="1"/>
  <c r="Z73"/>
  <c r="AG14"/>
  <c r="U73"/>
  <c r="U73" i="874"/>
  <c r="AF14"/>
  <c r="AF73" s="1"/>
  <c r="Z73"/>
  <c r="AH7"/>
  <c r="AG28"/>
  <c r="AH28" s="1"/>
  <c r="AG73" i="873"/>
  <c r="AH7"/>
  <c r="AH73" s="1"/>
  <c r="U73" i="872"/>
  <c r="AF73"/>
  <c r="AG7"/>
  <c r="AH7" i="871"/>
  <c r="AH73" s="1"/>
  <c r="AG73"/>
  <c r="Z73" i="870"/>
  <c r="AG14"/>
  <c r="AH14" s="1"/>
  <c r="U73"/>
  <c r="AH8"/>
  <c r="AH14" i="875" l="1"/>
  <c r="AH73" s="1"/>
  <c r="AG73"/>
  <c r="AG14" i="874"/>
  <c r="AH14" s="1"/>
  <c r="AH73" s="1"/>
  <c r="AH7" i="872"/>
  <c r="AH73" s="1"/>
  <c r="AG73"/>
  <c r="AG73" i="870"/>
  <c r="AH73"/>
  <c r="AG73" i="874" l="1"/>
  <c r="W117" i="692"/>
  <c r="V117"/>
  <c r="Q71" i="515"/>
  <c r="D69"/>
  <c r="E69"/>
  <c r="F69"/>
  <c r="G69"/>
  <c r="H69"/>
  <c r="I69"/>
  <c r="J69"/>
  <c r="K69"/>
  <c r="L69"/>
  <c r="M69"/>
  <c r="N69"/>
  <c r="O69"/>
  <c r="P69"/>
  <c r="Q69"/>
  <c r="D70"/>
  <c r="E70"/>
  <c r="F70"/>
  <c r="G70"/>
  <c r="H70"/>
  <c r="I70"/>
  <c r="J70"/>
  <c r="K70"/>
  <c r="L70"/>
  <c r="M70"/>
  <c r="N70"/>
  <c r="O70"/>
  <c r="P70"/>
  <c r="Q70"/>
  <c r="D71"/>
  <c r="E71"/>
  <c r="F71"/>
  <c r="G71"/>
  <c r="H71"/>
  <c r="I71"/>
  <c r="J71"/>
  <c r="K71"/>
  <c r="L71"/>
  <c r="M71"/>
  <c r="N71"/>
  <c r="O71"/>
  <c r="P71"/>
  <c r="D72"/>
  <c r="E72"/>
  <c r="F72"/>
  <c r="G72"/>
  <c r="H72"/>
  <c r="I72"/>
  <c r="J72"/>
  <c r="K72"/>
  <c r="L72"/>
  <c r="M72"/>
  <c r="N72"/>
  <c r="O72"/>
  <c r="P72"/>
  <c r="Q72"/>
  <c r="D73"/>
  <c r="E73"/>
  <c r="F73"/>
  <c r="G73"/>
  <c r="H73"/>
  <c r="I73"/>
  <c r="J73"/>
  <c r="K73"/>
  <c r="L73"/>
  <c r="M73"/>
  <c r="N73"/>
  <c r="O73"/>
  <c r="P73"/>
  <c r="Q73"/>
  <c r="C70"/>
  <c r="C71"/>
  <c r="C72"/>
  <c r="C73"/>
  <c r="C69"/>
  <c r="N74"/>
  <c r="O74"/>
  <c r="P74"/>
  <c r="Q74"/>
  <c r="C76" l="1"/>
  <c r="Q76"/>
  <c r="X117" i="692" l="1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M77"/>
  <c r="F77"/>
  <c r="S69" l="1"/>
  <c r="U69" s="1"/>
  <c r="AG69" s="1"/>
  <c r="AH69" s="1"/>
  <c r="S13"/>
  <c r="U13" s="1"/>
  <c r="AG13" s="1"/>
  <c r="AH13" s="1"/>
  <c r="S21"/>
  <c r="U21" s="1"/>
  <c r="AG21" s="1"/>
  <c r="AH21" s="1"/>
  <c r="S22"/>
  <c r="U22" s="1"/>
  <c r="AG22" s="1"/>
  <c r="AH22" s="1"/>
  <c r="S25"/>
  <c r="U25" s="1"/>
  <c r="AG25" s="1"/>
  <c r="AH25" s="1"/>
  <c r="S33"/>
  <c r="U33" s="1"/>
  <c r="AG33" s="1"/>
  <c r="AH33" s="1"/>
  <c r="S37"/>
  <c r="U37" s="1"/>
  <c r="AG37" s="1"/>
  <c r="AH37" s="1"/>
  <c r="S41"/>
  <c r="U41" s="1"/>
  <c r="AG41" s="1"/>
  <c r="AH41" s="1"/>
  <c r="S42"/>
  <c r="U42" s="1"/>
  <c r="AG42" s="1"/>
  <c r="AH42" s="1"/>
  <c r="S49"/>
  <c r="U49" s="1"/>
  <c r="AG49" s="1"/>
  <c r="AH49" s="1"/>
  <c r="N73"/>
  <c r="O73"/>
  <c r="Q9"/>
  <c r="Q21"/>
  <c r="E73"/>
  <c r="F73"/>
  <c r="I73"/>
  <c r="J73"/>
  <c r="M73"/>
  <c r="Q8"/>
  <c r="Q12"/>
  <c r="Q16"/>
  <c r="Q20"/>
  <c r="Q24"/>
  <c r="Q28"/>
  <c r="Q36"/>
  <c r="Q40"/>
  <c r="Q44"/>
  <c r="Q52"/>
  <c r="Q60"/>
  <c r="Q68"/>
  <c r="S11"/>
  <c r="U11" s="1"/>
  <c r="AG11" s="1"/>
  <c r="AH11" s="1"/>
  <c r="S12"/>
  <c r="U12" s="1"/>
  <c r="AG12" s="1"/>
  <c r="AH12" s="1"/>
  <c r="S15"/>
  <c r="U15" s="1"/>
  <c r="AG15" s="1"/>
  <c r="AH15" s="1"/>
  <c r="S20"/>
  <c r="U20" s="1"/>
  <c r="AG20" s="1"/>
  <c r="AH20" s="1"/>
  <c r="S23"/>
  <c r="U23" s="1"/>
  <c r="AG23" s="1"/>
  <c r="AH23" s="1"/>
  <c r="S27"/>
  <c r="U27" s="1"/>
  <c r="AG27" s="1"/>
  <c r="AH27" s="1"/>
  <c r="S31"/>
  <c r="U31" s="1"/>
  <c r="AG31" s="1"/>
  <c r="AH31" s="1"/>
  <c r="S35"/>
  <c r="U35" s="1"/>
  <c r="AG35" s="1"/>
  <c r="AH35" s="1"/>
  <c r="S47"/>
  <c r="U47" s="1"/>
  <c r="AG47" s="1"/>
  <c r="AH47" s="1"/>
  <c r="S48"/>
  <c r="U48" s="1"/>
  <c r="AG48" s="1"/>
  <c r="AH48" s="1"/>
  <c r="S55"/>
  <c r="U55" s="1"/>
  <c r="AG55" s="1"/>
  <c r="AH55" s="1"/>
  <c r="S63"/>
  <c r="U63" s="1"/>
  <c r="AG63" s="1"/>
  <c r="AH63" s="1"/>
  <c r="S68"/>
  <c r="U68" s="1"/>
  <c r="AG68" s="1"/>
  <c r="AH68" s="1"/>
  <c r="D73"/>
  <c r="E75" s="1"/>
  <c r="R75" s="1"/>
  <c r="W118"/>
  <c r="V118"/>
  <c r="T118"/>
  <c r="R77"/>
  <c r="AJ73"/>
  <c r="AI73"/>
  <c r="AE73"/>
  <c r="AD73"/>
  <c r="AC73"/>
  <c r="AB73"/>
  <c r="AA73"/>
  <c r="Z73"/>
  <c r="Y73"/>
  <c r="V73"/>
  <c r="P73"/>
  <c r="C73"/>
  <c r="AF72"/>
  <c r="AG72" s="1"/>
  <c r="AH72" s="1"/>
  <c r="AF71"/>
  <c r="T71"/>
  <c r="AF70"/>
  <c r="T70"/>
  <c r="AF69"/>
  <c r="T69"/>
  <c r="AF68"/>
  <c r="AF67"/>
  <c r="T67"/>
  <c r="AH66"/>
  <c r="AG66"/>
  <c r="AF66"/>
  <c r="AF65"/>
  <c r="AF64"/>
  <c r="AF63"/>
  <c r="AF62"/>
  <c r="S62"/>
  <c r="U62" s="1"/>
  <c r="AG62" s="1"/>
  <c r="AH62" s="1"/>
  <c r="AF61"/>
  <c r="AF60"/>
  <c r="AF59"/>
  <c r="S59"/>
  <c r="U59" s="1"/>
  <c r="AG59" s="1"/>
  <c r="AH59" s="1"/>
  <c r="AF58"/>
  <c r="U58"/>
  <c r="AG58" s="1"/>
  <c r="AH58" s="1"/>
  <c r="AF57"/>
  <c r="AF56"/>
  <c r="AF55"/>
  <c r="AF54"/>
  <c r="S54"/>
  <c r="U54" s="1"/>
  <c r="AG54" s="1"/>
  <c r="AH54" s="1"/>
  <c r="AF53"/>
  <c r="AF52"/>
  <c r="AF51"/>
  <c r="S51"/>
  <c r="U51" s="1"/>
  <c r="AG51" s="1"/>
  <c r="AH51" s="1"/>
  <c r="AF50"/>
  <c r="T50"/>
  <c r="AF49"/>
  <c r="AF48"/>
  <c r="AF47"/>
  <c r="V47"/>
  <c r="AF46"/>
  <c r="S46"/>
  <c r="U46" s="1"/>
  <c r="AG46" s="1"/>
  <c r="AH46" s="1"/>
  <c r="AF45"/>
  <c r="AF44"/>
  <c r="AH43"/>
  <c r="AG43"/>
  <c r="AF43"/>
  <c r="AF42"/>
  <c r="T42"/>
  <c r="AF41"/>
  <c r="AF40"/>
  <c r="AF39"/>
  <c r="S39"/>
  <c r="U39" s="1"/>
  <c r="AG39" s="1"/>
  <c r="AH39" s="1"/>
  <c r="AF38"/>
  <c r="AF37"/>
  <c r="AF36"/>
  <c r="AF35"/>
  <c r="AF34"/>
  <c r="AF33"/>
  <c r="AF32"/>
  <c r="T32"/>
  <c r="AF31"/>
  <c r="AF30"/>
  <c r="T30"/>
  <c r="AF29"/>
  <c r="AF28"/>
  <c r="AF27"/>
  <c r="AF26"/>
  <c r="AF25"/>
  <c r="AF24"/>
  <c r="AF23"/>
  <c r="AF22"/>
  <c r="AF21"/>
  <c r="AF20"/>
  <c r="AF19"/>
  <c r="AF18"/>
  <c r="AG18" s="1"/>
  <c r="AH18" s="1"/>
  <c r="AF17"/>
  <c r="T17"/>
  <c r="AF16"/>
  <c r="T16"/>
  <c r="AF15"/>
  <c r="T15"/>
  <c r="AF14"/>
  <c r="T14"/>
  <c r="AF13"/>
  <c r="AF12"/>
  <c r="T12"/>
  <c r="AF11"/>
  <c r="T11"/>
  <c r="AF10"/>
  <c r="AF9"/>
  <c r="AF73" s="1"/>
  <c r="T9"/>
  <c r="AF8"/>
  <c r="T8"/>
  <c r="AF7"/>
  <c r="T7"/>
  <c r="T73" s="1"/>
  <c r="X118" l="1"/>
  <c r="S67"/>
  <c r="U67" s="1"/>
  <c r="AG67" s="1"/>
  <c r="AH67" s="1"/>
  <c r="S71"/>
  <c r="U71" s="1"/>
  <c r="AG71" s="1"/>
  <c r="AH71" s="1"/>
  <c r="S16"/>
  <c r="U16" s="1"/>
  <c r="AG16" s="1"/>
  <c r="AH16" s="1"/>
  <c r="S19"/>
  <c r="U19" s="1"/>
  <c r="AG19" s="1"/>
  <c r="AH19" s="1"/>
  <c r="S70"/>
  <c r="U70" s="1"/>
  <c r="AG70" s="1"/>
  <c r="AH70" s="1"/>
  <c r="S17"/>
  <c r="U17" s="1"/>
  <c r="AG17" s="1"/>
  <c r="AH17" s="1"/>
  <c r="S50"/>
  <c r="U50" s="1"/>
  <c r="AG50" s="1"/>
  <c r="AH50" s="1"/>
  <c r="S38"/>
  <c r="U38" s="1"/>
  <c r="AG38" s="1"/>
  <c r="AH38" s="1"/>
  <c r="S14"/>
  <c r="U14" s="1"/>
  <c r="AG14" s="1"/>
  <c r="AH14" s="1"/>
  <c r="K73"/>
  <c r="G73"/>
  <c r="L73"/>
  <c r="H73"/>
  <c r="S7"/>
  <c r="U7" s="1"/>
  <c r="S36"/>
  <c r="U36" s="1"/>
  <c r="AG36" s="1"/>
  <c r="AH36" s="1"/>
  <c r="S56"/>
  <c r="U56" s="1"/>
  <c r="AG56" s="1"/>
  <c r="AH56" s="1"/>
  <c r="S44"/>
  <c r="U44" s="1"/>
  <c r="AG44" s="1"/>
  <c r="AH44" s="1"/>
  <c r="S28"/>
  <c r="U28" s="1"/>
  <c r="AG28" s="1"/>
  <c r="AH28" s="1"/>
  <c r="S8"/>
  <c r="U8" s="1"/>
  <c r="AG8" s="1"/>
  <c r="AH8" s="1"/>
  <c r="Q55"/>
  <c r="Q48"/>
  <c r="Q32"/>
  <c r="R73"/>
  <c r="D76" s="1"/>
  <c r="R76" s="1"/>
  <c r="R80" s="1"/>
  <c r="S34"/>
  <c r="U34" s="1"/>
  <c r="AG34" s="1"/>
  <c r="AH34" s="1"/>
  <c r="S30"/>
  <c r="U30" s="1"/>
  <c r="AG30" s="1"/>
  <c r="AH30" s="1"/>
  <c r="S26"/>
  <c r="U26" s="1"/>
  <c r="AG26" s="1"/>
  <c r="AH26" s="1"/>
  <c r="S10"/>
  <c r="U10" s="1"/>
  <c r="AG10" s="1"/>
  <c r="AH10" s="1"/>
  <c r="S64"/>
  <c r="U64" s="1"/>
  <c r="AG64" s="1"/>
  <c r="AH64" s="1"/>
  <c r="S60"/>
  <c r="U60" s="1"/>
  <c r="AG60" s="1"/>
  <c r="AH60" s="1"/>
  <c r="S52"/>
  <c r="U52" s="1"/>
  <c r="AG52" s="1"/>
  <c r="AH52" s="1"/>
  <c r="S40"/>
  <c r="U40" s="1"/>
  <c r="AG40" s="1"/>
  <c r="AH40" s="1"/>
  <c r="S32"/>
  <c r="U32" s="1"/>
  <c r="AG32" s="1"/>
  <c r="AH32" s="1"/>
  <c r="S24"/>
  <c r="U24" s="1"/>
  <c r="AG24" s="1"/>
  <c r="AH24" s="1"/>
  <c r="Q63"/>
  <c r="Q47"/>
  <c r="S61"/>
  <c r="U61" s="1"/>
  <c r="AG61" s="1"/>
  <c r="AH61" s="1"/>
  <c r="S57"/>
  <c r="U57" s="1"/>
  <c r="AG57" s="1"/>
  <c r="AH57" s="1"/>
  <c r="S53"/>
  <c r="U53" s="1"/>
  <c r="AG53" s="1"/>
  <c r="AH53" s="1"/>
  <c r="S45"/>
  <c r="U45" s="1"/>
  <c r="AG45" s="1"/>
  <c r="AH45" s="1"/>
  <c r="S29"/>
  <c r="U29" s="1"/>
  <c r="AG29" s="1"/>
  <c r="AH29" s="1"/>
  <c r="S9"/>
  <c r="U9" s="1"/>
  <c r="AG9" s="1"/>
  <c r="AH9" s="1"/>
  <c r="S65"/>
  <c r="U65" s="1"/>
  <c r="AG65" s="1"/>
  <c r="AH65" s="1"/>
  <c r="Q71"/>
  <c r="Q70"/>
  <c r="Q69"/>
  <c r="Q67"/>
  <c r="Q65"/>
  <c r="Q64"/>
  <c r="Q62"/>
  <c r="Q61"/>
  <c r="Q59"/>
  <c r="Q58"/>
  <c r="Q57"/>
  <c r="Q56"/>
  <c r="Q54"/>
  <c r="Q53"/>
  <c r="Q51"/>
  <c r="Q50"/>
  <c r="Q49"/>
  <c r="Q46"/>
  <c r="Q45"/>
  <c r="Q42"/>
  <c r="Q41"/>
  <c r="Q39"/>
  <c r="Q38"/>
  <c r="Q37"/>
  <c r="Q35"/>
  <c r="Q34"/>
  <c r="Q33"/>
  <c r="Q31"/>
  <c r="Q30"/>
  <c r="Q29"/>
  <c r="Q27"/>
  <c r="Q26"/>
  <c r="Q25"/>
  <c r="Q23"/>
  <c r="Q22"/>
  <c r="Q19"/>
  <c r="Q17"/>
  <c r="Q15"/>
  <c r="Q14"/>
  <c r="Q13"/>
  <c r="Q11"/>
  <c r="Q10"/>
  <c r="Q7"/>
  <c r="Q73" l="1"/>
  <c r="E74" s="1"/>
  <c r="R74" s="1"/>
  <c r="T74" s="1"/>
  <c r="S73"/>
  <c r="U73"/>
  <c r="AG7"/>
  <c r="AH7" l="1"/>
  <c r="AH73" s="1"/>
  <c r="AG73"/>
</calcChain>
</file>

<file path=xl/sharedStrings.xml><?xml version="1.0" encoding="utf-8"?>
<sst xmlns="http://schemas.openxmlformats.org/spreadsheetml/2006/main" count="4520" uniqueCount="195">
  <si>
    <t>Total</t>
  </si>
  <si>
    <t>Krishibid Feed Ltd.</t>
  </si>
  <si>
    <t>Nishinda, Bhaluka, Mymensingh</t>
  </si>
  <si>
    <t>Daily Finished Goods Statement</t>
  </si>
  <si>
    <t>Sl No</t>
  </si>
  <si>
    <t>Itame Name</t>
  </si>
  <si>
    <t>Production</t>
  </si>
  <si>
    <t>Delivery</t>
  </si>
  <si>
    <t>Return Feed</t>
  </si>
  <si>
    <t>Actual Monthly delivery</t>
  </si>
  <si>
    <t xml:space="preserve">Gross Total Stock                                                   </t>
  </si>
  <si>
    <t>Monthly dust stock</t>
  </si>
  <si>
    <t>Monthly KBD Delivery</t>
  </si>
  <si>
    <t>Cattle</t>
  </si>
  <si>
    <t>KFL</t>
  </si>
  <si>
    <t>Total cattle F/S</t>
  </si>
  <si>
    <t>Monthly Production-Rented</t>
  </si>
  <si>
    <t>Total Monthly Production</t>
  </si>
  <si>
    <t>Pran</t>
  </si>
  <si>
    <t>Broiler Starter</t>
  </si>
  <si>
    <t>Broiler Grower</t>
  </si>
  <si>
    <t>Broiler Finisher</t>
  </si>
  <si>
    <t>Broiler House Feed</t>
  </si>
  <si>
    <t>Layer Starter cr</t>
  </si>
  <si>
    <t>Layer Grower</t>
  </si>
  <si>
    <t>Sonali Starter</t>
  </si>
  <si>
    <t>Sonali Grower</t>
  </si>
  <si>
    <t>Pangus Starter-2</t>
  </si>
  <si>
    <t xml:space="preserve">Pangus Grower </t>
  </si>
  <si>
    <t>pangus Finisher</t>
  </si>
  <si>
    <t>Telapia Nursery-1</t>
  </si>
  <si>
    <t>Telapia Nursery-2</t>
  </si>
  <si>
    <t>Telapia Starter</t>
  </si>
  <si>
    <t>Telapia Grower</t>
  </si>
  <si>
    <t>Carp Starter</t>
  </si>
  <si>
    <t>Carp Grower</t>
  </si>
  <si>
    <t>Sing &amp; Magur Pre-St  Flot</t>
  </si>
  <si>
    <t>Koi Starter</t>
  </si>
  <si>
    <t>Shrimp Feed</t>
  </si>
  <si>
    <t>Golda Starter</t>
  </si>
  <si>
    <t>Golda Grower</t>
  </si>
  <si>
    <t>Bagda Starter</t>
  </si>
  <si>
    <t>Bagda Grower</t>
  </si>
  <si>
    <t>Beef Hi-Pro</t>
  </si>
  <si>
    <t>Beef Regular</t>
  </si>
  <si>
    <t>Dairy Hi-Pro</t>
  </si>
  <si>
    <t>Dairy Regular</t>
  </si>
  <si>
    <t>Hatchery</t>
  </si>
  <si>
    <t>Pangus Starter</t>
  </si>
  <si>
    <t>Pangus Finisher- F</t>
  </si>
  <si>
    <t>Pangus Grower- F</t>
  </si>
  <si>
    <t>Pangus Starter- F</t>
  </si>
  <si>
    <t>Pangus Grower- F(OC)</t>
  </si>
  <si>
    <t>Pangus Finisher- F (OC)</t>
  </si>
  <si>
    <t>Telapia Pre Starter- F</t>
  </si>
  <si>
    <t>Telapia Starter- F</t>
  </si>
  <si>
    <t>Telapia Grower- F</t>
  </si>
  <si>
    <t>Telapia Starter- F(OC)</t>
  </si>
  <si>
    <t>Telapia Grower- F (OC)</t>
  </si>
  <si>
    <t>Carp Grower- F</t>
  </si>
  <si>
    <t>Carp Grower- F (OC)</t>
  </si>
  <si>
    <t>Sing &amp; magur Grower- F</t>
  </si>
  <si>
    <t>Koi Starter- Floating</t>
  </si>
  <si>
    <t>D/R Mash</t>
  </si>
  <si>
    <t>Total  Poultry feed</t>
  </si>
  <si>
    <t>Total Sinking</t>
  </si>
  <si>
    <t>Floating Feed</t>
  </si>
  <si>
    <t>Poultry Feed</t>
  </si>
  <si>
    <t>Sinking Feed</t>
  </si>
  <si>
    <t>Sr. Asst.Manager (Store)</t>
  </si>
  <si>
    <t>Sing/Magur Grower</t>
  </si>
  <si>
    <t>Monthly KBD-F Delivery</t>
  </si>
  <si>
    <t>Total floating Feed</t>
  </si>
  <si>
    <t>Asst.Manager (Production)</t>
  </si>
  <si>
    <t>Prepared By:</t>
  </si>
  <si>
    <t>koi Sing &amp; Magur Pre-St- F(OC)</t>
  </si>
  <si>
    <t>Layer Layer-1 (PP Bag)</t>
  </si>
  <si>
    <t>Pangus Starter-1</t>
  </si>
  <si>
    <t>Pangus Pre  Starter- F</t>
  </si>
  <si>
    <t>Pangus Nursery 1</t>
  </si>
  <si>
    <t>Pangus Nursery 2</t>
  </si>
  <si>
    <t>Layer Grower Pellet</t>
  </si>
  <si>
    <t>Software Opening Balance</t>
  </si>
  <si>
    <t>Software Closing Balance</t>
  </si>
  <si>
    <t>Variance</t>
  </si>
  <si>
    <t>Physical Closing Balance</t>
  </si>
  <si>
    <t>Telapia Pre Str- F(OC)</t>
  </si>
  <si>
    <t>Remarks              (Reject Feed)</t>
  </si>
  <si>
    <t>Pangus  St  F (OC)</t>
  </si>
  <si>
    <t>Bahadurpur</t>
  </si>
  <si>
    <t>Boholi</t>
  </si>
  <si>
    <t>GLDL</t>
  </si>
  <si>
    <t>Poultry (Kua)</t>
  </si>
  <si>
    <t>Poultry (Gugium)</t>
  </si>
  <si>
    <t>Reprocess</t>
  </si>
  <si>
    <t>sathkira</t>
  </si>
  <si>
    <t>Koi Grower</t>
  </si>
  <si>
    <t>Sing/Magur Starter</t>
  </si>
  <si>
    <t>Bogra</t>
  </si>
  <si>
    <t>Jessore</t>
  </si>
  <si>
    <t>Comilla</t>
  </si>
  <si>
    <t>Cox</t>
  </si>
  <si>
    <t>Physical (Factory &amp; Depot)</t>
  </si>
  <si>
    <t>Depot stock</t>
  </si>
  <si>
    <t>Nursery 1.00mm</t>
  </si>
  <si>
    <t>Khulna</t>
  </si>
  <si>
    <t>Layer Layer-2</t>
  </si>
  <si>
    <t>Nursery 0.80mm</t>
  </si>
  <si>
    <t>Rangpur</t>
  </si>
  <si>
    <t>SFair</t>
  </si>
  <si>
    <t>Farmer</t>
  </si>
  <si>
    <t>Sorker</t>
  </si>
  <si>
    <t>Date: 01.10.18</t>
  </si>
  <si>
    <t>Koi Nursery</t>
  </si>
  <si>
    <t>Koi Grower Floating oc</t>
  </si>
  <si>
    <t>Sing &amp; Magur nursery</t>
  </si>
  <si>
    <t>Upto 01.10.18</t>
  </si>
  <si>
    <t>SL No.</t>
  </si>
  <si>
    <t>Remarks</t>
  </si>
  <si>
    <t>Finished Goods Variance report upto 01.10.18</t>
  </si>
  <si>
    <t>Physical              ( Depot)</t>
  </si>
  <si>
    <t>Physical (Factory)</t>
  </si>
  <si>
    <t>COO</t>
  </si>
  <si>
    <t>Asia</t>
  </si>
  <si>
    <t>Rent</t>
  </si>
  <si>
    <t>Max</t>
  </si>
  <si>
    <t>Date: 31.03.19</t>
  </si>
  <si>
    <t>Sumon</t>
  </si>
  <si>
    <t>Poultry (salt)</t>
  </si>
  <si>
    <t>Monowara</t>
  </si>
  <si>
    <t>Mondol</t>
  </si>
  <si>
    <t>Mostofa</t>
  </si>
  <si>
    <t>Pusti</t>
  </si>
  <si>
    <t>Milon</t>
  </si>
  <si>
    <t>kaligonj</t>
  </si>
  <si>
    <t>Manager (Store)</t>
  </si>
  <si>
    <t>Manager (Production)</t>
  </si>
  <si>
    <t>DCEO</t>
  </si>
  <si>
    <t>Sunmon</t>
  </si>
  <si>
    <t>AIT</t>
  </si>
  <si>
    <t>Khadija</t>
  </si>
  <si>
    <t>Sonarbangla</t>
  </si>
  <si>
    <t>plty</t>
  </si>
  <si>
    <t>Sarker</t>
  </si>
  <si>
    <t>Bhaha</t>
  </si>
  <si>
    <t>GL</t>
  </si>
  <si>
    <t>Hyder</t>
  </si>
  <si>
    <t>pran</t>
  </si>
  <si>
    <t>asia</t>
  </si>
  <si>
    <t>Nabi</t>
  </si>
  <si>
    <t>Date: 01.10.19</t>
  </si>
  <si>
    <t>Date: 02.10.19</t>
  </si>
  <si>
    <t>Date: 03.10.19</t>
  </si>
  <si>
    <t>Date: 04.10.19</t>
  </si>
  <si>
    <t>Safin</t>
  </si>
  <si>
    <t>Date: 05.10.19</t>
  </si>
  <si>
    <t>Date: 06.10.19</t>
  </si>
  <si>
    <t>kazol</t>
  </si>
  <si>
    <t>Date: 07.10.19</t>
  </si>
  <si>
    <t>Date: 08.10.19</t>
  </si>
  <si>
    <t>Date: 09.10.19</t>
  </si>
  <si>
    <t>Date: 10.10.19</t>
  </si>
  <si>
    <t>Date: 11.10.19</t>
  </si>
  <si>
    <t>Date: 12.10.19</t>
  </si>
  <si>
    <t>Miner</t>
  </si>
  <si>
    <t>Date: 13.10.19</t>
  </si>
  <si>
    <t>Date: 14.10.19</t>
  </si>
  <si>
    <t>Azom</t>
  </si>
  <si>
    <t>Date: 15.10.19</t>
  </si>
  <si>
    <t xml:space="preserve">A R </t>
  </si>
  <si>
    <t>A R</t>
  </si>
  <si>
    <t>Boiragi</t>
  </si>
  <si>
    <t>Date: 16.10.19</t>
  </si>
  <si>
    <t>Maysa</t>
  </si>
  <si>
    <t>Date: 17.10.19</t>
  </si>
  <si>
    <t>Jamil</t>
  </si>
  <si>
    <t>Date: 18.10.19</t>
  </si>
  <si>
    <t>Date: 19.10.19</t>
  </si>
  <si>
    <t>Date: 20.10.19</t>
  </si>
  <si>
    <t>Valuka</t>
  </si>
  <si>
    <t>Date: 21.10.19</t>
  </si>
  <si>
    <t>Date: 23.10.19</t>
  </si>
  <si>
    <t>Date: 22.10.19</t>
  </si>
  <si>
    <t>Choat</t>
  </si>
  <si>
    <t>Date: 24.10.19</t>
  </si>
  <si>
    <t>Date: 25.10.19</t>
  </si>
  <si>
    <t>Date: 26.10.19</t>
  </si>
  <si>
    <t>Neta Mostofa</t>
  </si>
  <si>
    <t>Date: 27.10.19</t>
  </si>
  <si>
    <t>Date: 28.10.19</t>
  </si>
  <si>
    <t>Date: 29.10.19</t>
  </si>
  <si>
    <t xml:space="preserve">  </t>
  </si>
  <si>
    <t>Date: 30.10.19</t>
  </si>
  <si>
    <t>Date: 31.10.19</t>
  </si>
  <si>
    <t>adjustment -2000kg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</si>
</sst>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8"/>
      <name val="Arial Narrow"/>
      <family val="2"/>
    </font>
    <font>
      <sz val="9"/>
      <name val="Arial Narrow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Calibri"/>
      <family val="2"/>
      <scheme val="minor"/>
    </font>
    <font>
      <sz val="7"/>
      <name val="Times New Roman"/>
      <family val="1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Arial Narrow"/>
      <family val="2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9"/>
      <name val="Times New Roman"/>
      <family val="1"/>
    </font>
    <font>
      <sz val="5"/>
      <name val="Times New Roman"/>
      <family val="1"/>
    </font>
    <font>
      <sz val="4"/>
      <name val="Times New Roman"/>
      <family val="1"/>
    </font>
    <font>
      <sz val="6"/>
      <color rgb="FFFF0000"/>
      <name val="Calibri"/>
      <family val="2"/>
      <scheme val="minor"/>
    </font>
    <font>
      <sz val="7"/>
      <color rgb="FFFF0000"/>
      <name val="Times New Roman"/>
      <family val="1"/>
    </font>
    <font>
      <sz val="6"/>
      <name val="Calibri"/>
      <family val="2"/>
      <scheme val="minor"/>
    </font>
    <font>
      <b/>
      <sz val="6"/>
      <name val="Times New Roman"/>
      <family val="1"/>
    </font>
    <font>
      <sz val="5"/>
      <name val="Calibri"/>
      <family val="2"/>
      <scheme val="minor"/>
    </font>
    <font>
      <sz val="5"/>
      <color theme="5"/>
      <name val="Times New Roman"/>
      <family val="1"/>
    </font>
    <font>
      <sz val="6"/>
      <color theme="5"/>
      <name val="Times New Roman"/>
      <family val="1"/>
    </font>
    <font>
      <sz val="4"/>
      <color theme="5"/>
      <name val="Times New Roman"/>
      <family val="1"/>
    </font>
    <font>
      <sz val="3.5"/>
      <color rgb="FFFF0000"/>
      <name val="Arial Narrow"/>
      <family val="2"/>
    </font>
    <font>
      <sz val="5"/>
      <color rgb="FFFF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name val="Times New Roman"/>
      <family val="1"/>
    </font>
    <font>
      <sz val="7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2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/>
    <xf numFmtId="0" fontId="2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/>
    <xf numFmtId="0" fontId="14" fillId="0" borderId="0" xfId="0" applyFont="1" applyBorder="1"/>
    <xf numFmtId="0" fontId="13" fillId="0" borderId="0" xfId="0" applyFont="1" applyBorder="1"/>
    <xf numFmtId="0" fontId="8" fillId="0" borderId="0" xfId="0" applyFont="1" applyBorder="1"/>
    <xf numFmtId="0" fontId="18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4" fillId="7" borderId="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8" fillId="0" borderId="0" xfId="0" applyFont="1"/>
    <xf numFmtId="0" fontId="26" fillId="7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1" fillId="0" borderId="0" xfId="0" applyFont="1"/>
    <xf numFmtId="0" fontId="15" fillId="10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4" fillId="0" borderId="0" xfId="0" applyFont="1"/>
    <xf numFmtId="0" fontId="13" fillId="0" borderId="0" xfId="0" applyFont="1" applyFill="1" applyBorder="1" applyAlignment="1"/>
    <xf numFmtId="0" fontId="14" fillId="11" borderId="0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/>
    </xf>
    <xf numFmtId="0" fontId="13" fillId="0" borderId="0" xfId="0" applyFont="1"/>
    <xf numFmtId="0" fontId="28" fillId="0" borderId="0" xfId="0" applyFont="1" applyFill="1" applyBorder="1"/>
    <xf numFmtId="0" fontId="23" fillId="0" borderId="5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0" xfId="0" applyFont="1" applyAlignment="1"/>
    <xf numFmtId="0" fontId="1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0" fontId="30" fillId="0" borderId="2" xfId="0" applyFont="1" applyBorder="1" applyAlignment="1">
      <alignment vertical="center"/>
    </xf>
    <xf numFmtId="0" fontId="8" fillId="0" borderId="0" xfId="0" applyFont="1" applyFill="1"/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24" fillId="7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2" fillId="7" borderId="6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left" vertical="center" textRotation="90" wrapText="1"/>
    </xf>
    <xf numFmtId="0" fontId="8" fillId="5" borderId="8" xfId="0" applyFont="1" applyFill="1" applyBorder="1" applyAlignment="1">
      <alignment horizontal="left" vertical="center" textRotation="90" wrapText="1"/>
    </xf>
    <xf numFmtId="0" fontId="8" fillId="5" borderId="5" xfId="0" applyFont="1" applyFill="1" applyBorder="1" applyAlignment="1">
      <alignment horizontal="left" vertical="center" textRotation="90" wrapText="1"/>
    </xf>
    <xf numFmtId="0" fontId="8" fillId="6" borderId="6" xfId="0" applyFont="1" applyFill="1" applyBorder="1" applyAlignment="1">
      <alignment horizontal="center" vertical="center" textRotation="90"/>
    </xf>
    <xf numFmtId="0" fontId="8" fillId="6" borderId="8" xfId="0" applyFont="1" applyFill="1" applyBorder="1" applyAlignment="1">
      <alignment horizontal="center" vertical="center" textRotation="90"/>
    </xf>
    <xf numFmtId="0" fontId="8" fillId="6" borderId="5" xfId="0" applyFont="1" applyFill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  <xf numFmtId="0" fontId="8" fillId="0" borderId="8" xfId="0" applyFont="1" applyBorder="1" applyAlignment="1">
      <alignment horizontal="center" vertical="center" textRotation="90"/>
    </xf>
    <xf numFmtId="0" fontId="8" fillId="0" borderId="5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 textRotation="90" wrapText="1"/>
    </xf>
    <xf numFmtId="0" fontId="6" fillId="7" borderId="6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0" fillId="12" borderId="6" xfId="0" applyFont="1" applyFill="1" applyBorder="1" applyAlignment="1">
      <alignment horizontal="center" vertical="center"/>
    </xf>
    <xf numFmtId="0" fontId="30" fillId="12" borderId="5" xfId="0" applyFont="1" applyFill="1" applyBorder="1" applyAlignment="1">
      <alignment horizontal="center" vertical="center"/>
    </xf>
    <xf numFmtId="0" fontId="30" fillId="12" borderId="6" xfId="0" applyFont="1" applyFill="1" applyBorder="1" applyAlignment="1">
      <alignment horizontal="center" vertical="center" wrapText="1"/>
    </xf>
    <xf numFmtId="0" fontId="30" fillId="12" borderId="5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2" activePane="bottomRight" state="frozen"/>
      <selection activeCell="O32" sqref="O32"/>
      <selection pane="topRight" activeCell="O32" sqref="O32"/>
      <selection pane="bottomLeft" activeCell="O32" sqref="O32"/>
      <selection pane="bottomRight" activeCell="K73" sqref="K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150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146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16750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1500</v>
      </c>
      <c r="S7" s="6">
        <f>C7+D7-R7</f>
        <v>15250</v>
      </c>
      <c r="T7" s="34">
        <v>-9150</v>
      </c>
      <c r="U7" s="6">
        <f>S7+T7</f>
        <v>6100</v>
      </c>
      <c r="V7" s="52"/>
      <c r="W7" s="57"/>
      <c r="X7" s="46"/>
      <c r="Y7" s="65"/>
      <c r="Z7" s="66">
        <f>W7-S7</f>
        <v>-15250</v>
      </c>
      <c r="AA7" s="65"/>
      <c r="AB7" s="67"/>
      <c r="AC7" s="65"/>
      <c r="AD7" s="47"/>
      <c r="AE7" s="61"/>
      <c r="AF7" s="52">
        <f>SUM(Y7:AE7)</f>
        <v>-15250</v>
      </c>
      <c r="AG7" s="46">
        <f>U7+AF7</f>
        <v>-9150</v>
      </c>
      <c r="AH7" s="51">
        <f>AG7-S7</f>
        <v>-24400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40200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4000+2000+500</f>
        <v>6500</v>
      </c>
      <c r="S8" s="6">
        <f t="shared" ref="S8:S71" si="1">C8+D8-R8</f>
        <v>33700</v>
      </c>
      <c r="T8" s="6">
        <v>-24350</v>
      </c>
      <c r="U8" s="6">
        <f t="shared" ref="U8:U71" si="2">S8+T8</f>
        <v>9350</v>
      </c>
      <c r="V8" s="52"/>
      <c r="W8" s="57"/>
      <c r="X8" s="46"/>
      <c r="Y8" s="61"/>
      <c r="Z8" s="66">
        <f t="shared" ref="Z8:Z71" si="3">W8-S8</f>
        <v>-33700</v>
      </c>
      <c r="AA8" s="61"/>
      <c r="AB8" s="67"/>
      <c r="AC8" s="61"/>
      <c r="AD8" s="66"/>
      <c r="AE8" s="61"/>
      <c r="AF8" s="52">
        <f t="shared" ref="AF8:AF71" si="4">SUM(Y8:AE8)</f>
        <v>-33700</v>
      </c>
      <c r="AG8" s="46">
        <f t="shared" ref="AG8:AG71" si="5">U8+AF8</f>
        <v>-24350</v>
      </c>
      <c r="AH8" s="51">
        <f t="shared" ref="AH8:AH71" si="6">AG8-S8</f>
        <v>-58050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8550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1000+500+250</f>
        <v>1750</v>
      </c>
      <c r="S11" s="6">
        <f t="shared" si="1"/>
        <v>6800</v>
      </c>
      <c r="T11" s="6">
        <v>-3750</v>
      </c>
      <c r="U11" s="6">
        <f t="shared" si="2"/>
        <v>3050</v>
      </c>
      <c r="V11" s="52"/>
      <c r="W11" s="57"/>
      <c r="X11" s="46"/>
      <c r="Y11" s="61"/>
      <c r="Z11" s="66">
        <f t="shared" si="3"/>
        <v>-6800</v>
      </c>
      <c r="AA11" s="61"/>
      <c r="AB11" s="67"/>
      <c r="AC11" s="61"/>
      <c r="AD11" s="66"/>
      <c r="AE11" s="61"/>
      <c r="AF11" s="52">
        <f t="shared" si="4"/>
        <v>-6800</v>
      </c>
      <c r="AG11" s="46">
        <f t="shared" si="5"/>
        <v>-3750</v>
      </c>
      <c r="AH11" s="51">
        <f t="shared" si="6"/>
        <v>-10550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1600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1000+2000</f>
        <v>3000</v>
      </c>
      <c r="S12" s="6">
        <f t="shared" si="1"/>
        <v>-1400</v>
      </c>
      <c r="T12" s="6">
        <v>4700</v>
      </c>
      <c r="U12" s="6">
        <f t="shared" si="2"/>
        <v>3300</v>
      </c>
      <c r="V12" s="52"/>
      <c r="W12" s="57"/>
      <c r="X12" s="46"/>
      <c r="Y12" s="61"/>
      <c r="Z12" s="66">
        <f t="shared" si="3"/>
        <v>1400</v>
      </c>
      <c r="AA12" s="61"/>
      <c r="AB12" s="67"/>
      <c r="AC12" s="61"/>
      <c r="AD12" s="66"/>
      <c r="AE12" s="61"/>
      <c r="AF12" s="52">
        <f t="shared" si="4"/>
        <v>1400</v>
      </c>
      <c r="AG12" s="46">
        <f t="shared" si="5"/>
        <v>4700</v>
      </c>
      <c r="AH12" s="51">
        <f t="shared" si="6"/>
        <v>6100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30160</v>
      </c>
      <c r="D14" s="6">
        <f>9850+6000</f>
        <v>15850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2000+6000+1500+1000+2000+2000</f>
        <v>14500</v>
      </c>
      <c r="S14" s="6">
        <f t="shared" si="1"/>
        <v>31510</v>
      </c>
      <c r="T14" s="6">
        <v>-5760</v>
      </c>
      <c r="U14" s="6">
        <f t="shared" si="2"/>
        <v>25750</v>
      </c>
      <c r="V14" s="52"/>
      <c r="W14" s="57"/>
      <c r="X14" s="46"/>
      <c r="Y14" s="61"/>
      <c r="Z14" s="66">
        <f t="shared" si="3"/>
        <v>-31510</v>
      </c>
      <c r="AA14" s="61"/>
      <c r="AB14" s="66"/>
      <c r="AC14" s="61"/>
      <c r="AD14" s="66"/>
      <c r="AE14" s="61"/>
      <c r="AF14" s="52">
        <f t="shared" si="4"/>
        <v>-31510</v>
      </c>
      <c r="AG14" s="46">
        <f t="shared" si="5"/>
        <v>-5760</v>
      </c>
      <c r="AH14" s="51">
        <f t="shared" si="6"/>
        <v>-37270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15150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1000</v>
      </c>
      <c r="S16" s="6">
        <f t="shared" si="1"/>
        <v>14150</v>
      </c>
      <c r="T16" s="34">
        <v>-10050</v>
      </c>
      <c r="U16" s="6">
        <f t="shared" si="2"/>
        <v>4100</v>
      </c>
      <c r="V16" s="52"/>
      <c r="W16" s="57"/>
      <c r="X16" s="46"/>
      <c r="Y16" s="61"/>
      <c r="Z16" s="66">
        <f t="shared" si="3"/>
        <v>-14150</v>
      </c>
      <c r="AA16" s="61"/>
      <c r="AB16" s="67"/>
      <c r="AC16" s="61"/>
      <c r="AD16" s="47"/>
      <c r="AE16" s="61"/>
      <c r="AF16" s="52">
        <f t="shared" si="4"/>
        <v>-14150</v>
      </c>
      <c r="AG16" s="46">
        <f t="shared" si="5"/>
        <v>-10050</v>
      </c>
      <c r="AH16" s="51">
        <f t="shared" si="6"/>
        <v>-24200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10800</v>
      </c>
      <c r="D17" s="6">
        <v>2850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4000+1000</f>
        <v>5000</v>
      </c>
      <c r="S17" s="6">
        <f t="shared" si="1"/>
        <v>8650</v>
      </c>
      <c r="T17" s="6">
        <v>-5000</v>
      </c>
      <c r="U17" s="6">
        <f t="shared" si="2"/>
        <v>3650</v>
      </c>
      <c r="V17" s="52"/>
      <c r="W17" s="57"/>
      <c r="X17" s="46"/>
      <c r="Y17" s="61"/>
      <c r="Z17" s="66">
        <f t="shared" si="3"/>
        <v>-8650</v>
      </c>
      <c r="AA17" s="61"/>
      <c r="AB17" s="66"/>
      <c r="AC17" s="61"/>
      <c r="AD17" s="66"/>
      <c r="AE17" s="61"/>
      <c r="AF17" s="52">
        <f t="shared" si="4"/>
        <v>-8650</v>
      </c>
      <c r="AG17" s="46">
        <f t="shared" si="5"/>
        <v>-5000</v>
      </c>
      <c r="AH17" s="51">
        <f t="shared" si="6"/>
        <v>-13650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9690</v>
      </c>
      <c r="D19" s="13"/>
      <c r="E19" s="13"/>
      <c r="F19" s="13"/>
      <c r="G19" s="13"/>
      <c r="H19" s="13"/>
      <c r="I19" s="13"/>
      <c r="J19" s="13"/>
      <c r="K19" s="13">
        <v>100</v>
      </c>
      <c r="L19" s="13"/>
      <c r="M19" s="13"/>
      <c r="N19" s="13"/>
      <c r="O19" s="13"/>
      <c r="P19" s="13"/>
      <c r="Q19" s="7">
        <f t="shared" si="0"/>
        <v>100</v>
      </c>
      <c r="R19" s="13">
        <v>20</v>
      </c>
      <c r="S19" s="6">
        <f t="shared" si="1"/>
        <v>9670</v>
      </c>
      <c r="T19" s="6">
        <v>-8940</v>
      </c>
      <c r="U19" s="6">
        <f t="shared" si="2"/>
        <v>730</v>
      </c>
      <c r="V19" s="52"/>
      <c r="W19" s="57"/>
      <c r="X19" s="46"/>
      <c r="Y19" s="61"/>
      <c r="Z19" s="66">
        <f t="shared" si="3"/>
        <v>-9670</v>
      </c>
      <c r="AA19" s="61"/>
      <c r="AB19" s="67"/>
      <c r="AC19" s="61"/>
      <c r="AD19" s="66"/>
      <c r="AE19" s="61"/>
      <c r="AF19" s="52">
        <f t="shared" si="4"/>
        <v>-9670</v>
      </c>
      <c r="AG19" s="46">
        <f t="shared" si="5"/>
        <v>-8940</v>
      </c>
      <c r="AH19" s="51">
        <f t="shared" si="6"/>
        <v>-18610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3365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3365</v>
      </c>
      <c r="T20" s="6">
        <v>-1605</v>
      </c>
      <c r="U20" s="6">
        <f t="shared" si="2"/>
        <v>1760</v>
      </c>
      <c r="V20" s="52"/>
      <c r="W20" s="57"/>
      <c r="X20" s="46"/>
      <c r="Y20" s="61"/>
      <c r="Z20" s="66">
        <f t="shared" si="3"/>
        <v>-3365</v>
      </c>
      <c r="AA20" s="61"/>
      <c r="AB20" s="67"/>
      <c r="AC20" s="61"/>
      <c r="AD20" s="66"/>
      <c r="AE20" s="61"/>
      <c r="AF20" s="52">
        <f t="shared" si="4"/>
        <v>-3365</v>
      </c>
      <c r="AG20" s="46">
        <f t="shared" si="5"/>
        <v>-1605</v>
      </c>
      <c r="AH20" s="51">
        <f t="shared" si="6"/>
        <v>-4970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7">
        <f t="shared" si="0"/>
        <v>0</v>
      </c>
      <c r="R22" s="92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7">
        <f t="shared" si="0"/>
        <v>0</v>
      </c>
      <c r="R24" s="92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7">
        <f t="shared" si="0"/>
        <v>0</v>
      </c>
      <c r="R25" s="92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7">
        <f t="shared" si="0"/>
        <v>0</v>
      </c>
      <c r="R26" s="92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8560</v>
      </c>
      <c r="D27" s="6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7">
        <f t="shared" si="0"/>
        <v>0</v>
      </c>
      <c r="R27" s="92"/>
      <c r="S27" s="6">
        <f t="shared" si="1"/>
        <v>8560</v>
      </c>
      <c r="T27" s="6">
        <v>-40</v>
      </c>
      <c r="U27" s="6">
        <f t="shared" si="2"/>
        <v>8520</v>
      </c>
      <c r="V27" s="52"/>
      <c r="W27" s="57"/>
      <c r="X27" s="46"/>
      <c r="Y27" s="61"/>
      <c r="Z27" s="66">
        <f t="shared" si="3"/>
        <v>-8560</v>
      </c>
      <c r="AA27" s="61"/>
      <c r="AB27" s="67"/>
      <c r="AC27" s="61"/>
      <c r="AD27" s="66"/>
      <c r="AE27" s="61"/>
      <c r="AF27" s="52">
        <f t="shared" si="4"/>
        <v>-8560</v>
      </c>
      <c r="AG27" s="46">
        <f t="shared" si="5"/>
        <v>-40</v>
      </c>
      <c r="AH27" s="51">
        <f t="shared" si="6"/>
        <v>-8600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6940</v>
      </c>
      <c r="D28" s="6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7">
        <f t="shared" si="0"/>
        <v>0</v>
      </c>
      <c r="R28" s="92"/>
      <c r="S28" s="6">
        <f t="shared" si="1"/>
        <v>6940</v>
      </c>
      <c r="T28" s="6">
        <f>-40-100</f>
        <v>-140</v>
      </c>
      <c r="U28" s="6">
        <f t="shared" si="2"/>
        <v>6800</v>
      </c>
      <c r="V28" s="52"/>
      <c r="W28" s="57"/>
      <c r="X28" s="46"/>
      <c r="Y28" s="61"/>
      <c r="Z28" s="66">
        <f t="shared" si="3"/>
        <v>-6940</v>
      </c>
      <c r="AA28" s="61"/>
      <c r="AB28" s="67"/>
      <c r="AC28" s="61"/>
      <c r="AD28" s="66"/>
      <c r="AE28" s="61"/>
      <c r="AF28" s="52">
        <f t="shared" si="4"/>
        <v>-6940</v>
      </c>
      <c r="AG28" s="46">
        <f t="shared" si="5"/>
        <v>-140</v>
      </c>
      <c r="AH28" s="51">
        <f t="shared" si="6"/>
        <v>-7080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-960</v>
      </c>
      <c r="D29" s="6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7">
        <f t="shared" si="0"/>
        <v>0</v>
      </c>
      <c r="R29" s="92">
        <v>1520</v>
      </c>
      <c r="S29" s="6">
        <f t="shared" si="1"/>
        <v>-2480</v>
      </c>
      <c r="T29" s="6">
        <f>860+100</f>
        <v>960</v>
      </c>
      <c r="U29" s="6">
        <f t="shared" si="2"/>
        <v>-1520</v>
      </c>
      <c r="V29" s="52"/>
      <c r="W29" s="57"/>
      <c r="X29" s="46"/>
      <c r="Y29" s="61"/>
      <c r="Z29" s="66">
        <f t="shared" si="3"/>
        <v>2480</v>
      </c>
      <c r="AA29" s="61"/>
      <c r="AB29" s="67"/>
      <c r="AC29" s="61"/>
      <c r="AD29" s="66"/>
      <c r="AE29" s="61"/>
      <c r="AF29" s="52">
        <f t="shared" si="4"/>
        <v>2480</v>
      </c>
      <c r="AG29" s="46">
        <f t="shared" si="5"/>
        <v>960</v>
      </c>
      <c r="AH29" s="51">
        <f t="shared" si="6"/>
        <v>3440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7">
        <f t="shared" si="0"/>
        <v>0</v>
      </c>
      <c r="R30" s="92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19880</v>
      </c>
      <c r="D31" s="6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7">
        <f t="shared" si="0"/>
        <v>0</v>
      </c>
      <c r="R31" s="92"/>
      <c r="S31" s="6">
        <f t="shared" si="1"/>
        <v>19880</v>
      </c>
      <c r="T31" s="6">
        <v>-17180</v>
      </c>
      <c r="U31" s="6">
        <f t="shared" si="2"/>
        <v>2700</v>
      </c>
      <c r="V31" s="52"/>
      <c r="W31" s="57"/>
      <c r="X31" s="46"/>
      <c r="Y31" s="61"/>
      <c r="Z31" s="66">
        <f t="shared" si="3"/>
        <v>-19880</v>
      </c>
      <c r="AA31" s="61"/>
      <c r="AB31" s="64"/>
      <c r="AC31" s="61"/>
      <c r="AD31" s="66"/>
      <c r="AE31" s="61"/>
      <c r="AF31" s="52">
        <f t="shared" si="4"/>
        <v>-19880</v>
      </c>
      <c r="AG31" s="46">
        <f t="shared" si="5"/>
        <v>-17180</v>
      </c>
      <c r="AH31" s="51">
        <f t="shared" si="6"/>
        <v>-37060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29040</v>
      </c>
      <c r="D32" s="6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6"/>
      <c r="P32" s="6"/>
      <c r="Q32" s="7">
        <f>SUM(E32:P32)</f>
        <v>0</v>
      </c>
      <c r="R32" s="92">
        <v>4520</v>
      </c>
      <c r="S32" s="6">
        <f t="shared" si="1"/>
        <v>24520</v>
      </c>
      <c r="T32" s="6">
        <v>-18280</v>
      </c>
      <c r="U32" s="6">
        <f t="shared" si="2"/>
        <v>6240</v>
      </c>
      <c r="V32" s="52"/>
      <c r="W32" s="57"/>
      <c r="X32" s="46"/>
      <c r="Y32" s="61"/>
      <c r="Z32" s="66">
        <f t="shared" si="3"/>
        <v>-24520</v>
      </c>
      <c r="AA32" s="61"/>
      <c r="AB32" s="67"/>
      <c r="AC32" s="61"/>
      <c r="AD32" s="66"/>
      <c r="AE32" s="61"/>
      <c r="AF32" s="52">
        <f t="shared" si="4"/>
        <v>-24520</v>
      </c>
      <c r="AG32" s="46">
        <f t="shared" si="5"/>
        <v>-18280</v>
      </c>
      <c r="AH32" s="51">
        <f t="shared" si="6"/>
        <v>-42800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7">
        <f t="shared" si="0"/>
        <v>0</v>
      </c>
      <c r="R33" s="92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92"/>
      <c r="F34" s="92"/>
      <c r="G34" s="92"/>
      <c r="H34" s="92"/>
      <c r="I34" s="92"/>
      <c r="J34" s="92"/>
      <c r="K34" s="6"/>
      <c r="L34" s="92"/>
      <c r="M34" s="92"/>
      <c r="N34" s="92"/>
      <c r="O34" s="92"/>
      <c r="P34" s="92"/>
      <c r="Q34" s="7">
        <f t="shared" si="0"/>
        <v>0</v>
      </c>
      <c r="R34" s="92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8020</v>
      </c>
      <c r="D35" s="6"/>
      <c r="E35" s="92"/>
      <c r="F35" s="92"/>
      <c r="G35" s="92"/>
      <c r="H35" s="92"/>
      <c r="I35" s="92"/>
      <c r="J35" s="92"/>
      <c r="K35" s="6">
        <v>11340</v>
      </c>
      <c r="L35" s="92"/>
      <c r="M35" s="92"/>
      <c r="N35" s="92"/>
      <c r="O35" s="92"/>
      <c r="P35" s="92"/>
      <c r="Q35" s="7">
        <f t="shared" si="0"/>
        <v>11340</v>
      </c>
      <c r="R35" s="92">
        <v>2200</v>
      </c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7">
        <f t="shared" si="0"/>
        <v>0</v>
      </c>
      <c r="R36" s="92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7">
        <f t="shared" si="0"/>
        <v>0</v>
      </c>
      <c r="R37" s="92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3660</v>
      </c>
      <c r="D38" s="6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7">
        <f>SUM(E38:P38)</f>
        <v>0</v>
      </c>
      <c r="R38" s="92"/>
      <c r="S38" s="6">
        <f t="shared" si="1"/>
        <v>3660</v>
      </c>
      <c r="T38" s="6">
        <v>-1340</v>
      </c>
      <c r="U38" s="6">
        <f t="shared" si="2"/>
        <v>2320</v>
      </c>
      <c r="V38" s="52"/>
      <c r="W38" s="57"/>
      <c r="X38" s="46"/>
      <c r="Y38" s="61"/>
      <c r="Z38" s="66">
        <f t="shared" si="3"/>
        <v>-3660</v>
      </c>
      <c r="AA38" s="61"/>
      <c r="AB38" s="64"/>
      <c r="AC38" s="61"/>
      <c r="AD38" s="66"/>
      <c r="AE38" s="61"/>
      <c r="AF38" s="52">
        <f t="shared" si="4"/>
        <v>-3660</v>
      </c>
      <c r="AG38" s="46">
        <f t="shared" si="5"/>
        <v>-1340</v>
      </c>
      <c r="AH38" s="51">
        <f t="shared" si="6"/>
        <v>-5000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7">
        <f>SUM(E39:P39)</f>
        <v>0</v>
      </c>
      <c r="R39" s="92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92"/>
      <c r="F40" s="92"/>
      <c r="G40" s="92"/>
      <c r="H40" s="27"/>
      <c r="I40" s="92"/>
      <c r="J40" s="92"/>
      <c r="K40" s="92"/>
      <c r="L40" s="92"/>
      <c r="M40" s="92"/>
      <c r="N40" s="92"/>
      <c r="O40" s="92"/>
      <c r="P40" s="92"/>
      <c r="Q40" s="7">
        <f>SUM(E40:P40)</f>
        <v>0</v>
      </c>
      <c r="R40" s="92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7">
        <f>SUM(E41:P41)</f>
        <v>0</v>
      </c>
      <c r="R41" s="92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5720</v>
      </c>
      <c r="D42" s="6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7">
        <f>SUM(E42:P42)</f>
        <v>0</v>
      </c>
      <c r="R42" s="92"/>
      <c r="S42" s="6">
        <f t="shared" si="1"/>
        <v>5720</v>
      </c>
      <c r="T42" s="6">
        <v>-1920</v>
      </c>
      <c r="U42" s="6">
        <f t="shared" si="2"/>
        <v>3800</v>
      </c>
      <c r="V42" s="52"/>
      <c r="W42" s="57"/>
      <c r="X42" s="46"/>
      <c r="Y42" s="61"/>
      <c r="Z42" s="66">
        <f t="shared" si="3"/>
        <v>-5720</v>
      </c>
      <c r="AA42" s="61"/>
      <c r="AB42" s="67"/>
      <c r="AC42" s="61"/>
      <c r="AD42" s="66"/>
      <c r="AE42" s="61"/>
      <c r="AF42" s="52">
        <f t="shared" si="4"/>
        <v>-5720</v>
      </c>
      <c r="AG42" s="46">
        <f t="shared" si="5"/>
        <v>-1920</v>
      </c>
      <c r="AH42" s="51">
        <f t="shared" si="6"/>
        <v>-7640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7">
        <f t="shared" si="0"/>
        <v>0</v>
      </c>
      <c r="R44" s="92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7">
        <f t="shared" si="0"/>
        <v>0</v>
      </c>
      <c r="R45" s="92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7">
        <f t="shared" si="0"/>
        <v>0</v>
      </c>
      <c r="R46" s="92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7">
        <f t="shared" si="0"/>
        <v>0</v>
      </c>
      <c r="R47" s="92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7">
        <f t="shared" si="0"/>
        <v>0</v>
      </c>
      <c r="R48" s="92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7">
        <f t="shared" si="0"/>
        <v>0</v>
      </c>
      <c r="R49" s="92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12500</v>
      </c>
      <c r="D50" s="6">
        <v>9825</v>
      </c>
      <c r="E50" s="92"/>
      <c r="F50" s="92"/>
      <c r="G50" s="92">
        <f>7600</f>
        <v>7600</v>
      </c>
      <c r="H50" s="92"/>
      <c r="I50" s="92"/>
      <c r="J50" s="92"/>
      <c r="K50" s="92"/>
      <c r="L50" s="92"/>
      <c r="M50" s="92"/>
      <c r="N50" s="92"/>
      <c r="O50" s="92"/>
      <c r="P50" s="92"/>
      <c r="Q50" s="7">
        <f t="shared" si="0"/>
        <v>7600</v>
      </c>
      <c r="R50" s="92">
        <f>3000+1500+1500</f>
        <v>6000</v>
      </c>
      <c r="S50" s="6">
        <f t="shared" si="1"/>
        <v>16325</v>
      </c>
      <c r="T50" s="6">
        <f>-12000+8615</f>
        <v>-3385</v>
      </c>
      <c r="U50" s="6">
        <f t="shared" si="2"/>
        <v>12940</v>
      </c>
      <c r="V50" s="52"/>
      <c r="W50" s="57"/>
      <c r="X50" s="46"/>
      <c r="Y50" s="61"/>
      <c r="Z50" s="66">
        <f t="shared" si="3"/>
        <v>-16325</v>
      </c>
      <c r="AA50" s="61"/>
      <c r="AB50" s="64"/>
      <c r="AC50" s="61"/>
      <c r="AD50" s="66"/>
      <c r="AE50" s="61"/>
      <c r="AF50" s="52">
        <f t="shared" si="4"/>
        <v>-16325</v>
      </c>
      <c r="AG50" s="46">
        <f t="shared" si="5"/>
        <v>-3385</v>
      </c>
      <c r="AH50" s="51">
        <f t="shared" si="6"/>
        <v>-19710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7">
        <f t="shared" si="0"/>
        <v>0</v>
      </c>
      <c r="R51" s="92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2510</v>
      </c>
      <c r="D52" s="6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7">
        <f t="shared" si="0"/>
        <v>0</v>
      </c>
      <c r="R52" s="92"/>
      <c r="S52" s="6">
        <f t="shared" si="1"/>
        <v>2510</v>
      </c>
      <c r="T52" s="6">
        <v>-2510</v>
      </c>
      <c r="U52" s="6">
        <f t="shared" si="2"/>
        <v>0</v>
      </c>
      <c r="V52" s="52"/>
      <c r="W52" s="57"/>
      <c r="X52" s="46"/>
      <c r="Y52" s="61"/>
      <c r="Z52" s="66">
        <f t="shared" si="3"/>
        <v>-2510</v>
      </c>
      <c r="AA52" s="61"/>
      <c r="AB52" s="67"/>
      <c r="AC52" s="61"/>
      <c r="AD52" s="66"/>
      <c r="AE52" s="61"/>
      <c r="AF52" s="52">
        <f t="shared" si="4"/>
        <v>-2510</v>
      </c>
      <c r="AG52" s="46">
        <f t="shared" si="5"/>
        <v>-2510</v>
      </c>
      <c r="AH52" s="51">
        <f t="shared" si="6"/>
        <v>-5020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15225</v>
      </c>
      <c r="D53" s="6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7">
        <f t="shared" si="0"/>
        <v>0</v>
      </c>
      <c r="R53" s="92">
        <v>2750</v>
      </c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11950</v>
      </c>
      <c r="D54" s="6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7">
        <f t="shared" si="0"/>
        <v>0</v>
      </c>
      <c r="R54" s="92">
        <v>4000</v>
      </c>
      <c r="S54" s="6">
        <f t="shared" si="1"/>
        <v>7950</v>
      </c>
      <c r="T54" s="6">
        <v>-2850</v>
      </c>
      <c r="U54" s="6">
        <f t="shared" si="2"/>
        <v>5100</v>
      </c>
      <c r="V54" s="52"/>
      <c r="W54" s="57"/>
      <c r="X54" s="46"/>
      <c r="Y54" s="61"/>
      <c r="Z54" s="66">
        <f t="shared" si="3"/>
        <v>-7950</v>
      </c>
      <c r="AA54" s="61"/>
      <c r="AB54" s="67"/>
      <c r="AC54" s="61"/>
      <c r="AD54" s="66"/>
      <c r="AE54" s="61"/>
      <c r="AF54" s="52">
        <f t="shared" si="4"/>
        <v>-7950</v>
      </c>
      <c r="AG54" s="46">
        <f t="shared" si="5"/>
        <v>-2850</v>
      </c>
      <c r="AH54" s="51">
        <f t="shared" si="6"/>
        <v>-10800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7">
        <f t="shared" si="0"/>
        <v>0</v>
      </c>
      <c r="R55" s="92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7">
        <f>SUM(E56:P56)</f>
        <v>0</v>
      </c>
      <c r="R56" s="92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7">
        <f t="shared" si="0"/>
        <v>0</v>
      </c>
      <c r="R61" s="92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7">
        <f t="shared" si="0"/>
        <v>0</v>
      </c>
      <c r="R62" s="91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7">
        <f t="shared" si="0"/>
        <v>0</v>
      </c>
      <c r="R63" s="91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7">
        <f t="shared" si="0"/>
        <v>0</v>
      </c>
      <c r="R64" s="91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7">
        <f t="shared" si="0"/>
        <v>0</v>
      </c>
      <c r="R65" s="91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93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1700</v>
      </c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7">
        <f t="shared" si="0"/>
        <v>0</v>
      </c>
      <c r="R67" s="92"/>
      <c r="S67" s="6">
        <f t="shared" si="1"/>
        <v>1700</v>
      </c>
      <c r="T67" s="6">
        <v>-1525</v>
      </c>
      <c r="U67" s="6">
        <f t="shared" si="2"/>
        <v>175</v>
      </c>
      <c r="V67" s="52"/>
      <c r="W67" s="57"/>
      <c r="X67" s="46"/>
      <c r="Y67" s="61"/>
      <c r="Z67" s="66">
        <f t="shared" si="3"/>
        <v>-1700</v>
      </c>
      <c r="AA67" s="61"/>
      <c r="AB67" s="67"/>
      <c r="AC67" s="61"/>
      <c r="AD67" s="66"/>
      <c r="AE67" s="61"/>
      <c r="AF67" s="52">
        <f t="shared" si="4"/>
        <v>-1700</v>
      </c>
      <c r="AG67" s="46">
        <f t="shared" si="5"/>
        <v>-1525</v>
      </c>
      <c r="AH67" s="51">
        <f t="shared" si="6"/>
        <v>-3225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7">
        <f t="shared" si="0"/>
        <v>0</v>
      </c>
      <c r="R68" s="92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32925</v>
      </c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7">
        <f t="shared" si="0"/>
        <v>0</v>
      </c>
      <c r="R69" s="92">
        <f>125+7000</f>
        <v>7125</v>
      </c>
      <c r="S69" s="6">
        <f t="shared" si="1"/>
        <v>25800</v>
      </c>
      <c r="T69" s="6">
        <v>-16950</v>
      </c>
      <c r="U69" s="6">
        <f t="shared" si="2"/>
        <v>8850</v>
      </c>
      <c r="V69" s="52"/>
      <c r="W69" s="57"/>
      <c r="X69" s="46"/>
      <c r="Y69" s="61"/>
      <c r="Z69" s="66">
        <f t="shared" si="3"/>
        <v>-25800</v>
      </c>
      <c r="AA69" s="61"/>
      <c r="AB69" s="64"/>
      <c r="AC69" s="61"/>
      <c r="AD69" s="66"/>
      <c r="AE69" s="61"/>
      <c r="AF69" s="52">
        <f t="shared" si="4"/>
        <v>-25800</v>
      </c>
      <c r="AG69" s="46">
        <f t="shared" si="5"/>
        <v>-16950</v>
      </c>
      <c r="AH69" s="51">
        <f t="shared" si="6"/>
        <v>-42750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16750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7">
        <f t="shared" si="0"/>
        <v>0</v>
      </c>
      <c r="R70" s="92">
        <v>1000</v>
      </c>
      <c r="S70" s="6">
        <f t="shared" si="1"/>
        <v>15750</v>
      </c>
      <c r="T70" s="6">
        <v>-9425</v>
      </c>
      <c r="U70" s="6">
        <f t="shared" si="2"/>
        <v>6325</v>
      </c>
      <c r="V70" s="52"/>
      <c r="W70" s="57"/>
      <c r="X70" s="46"/>
      <c r="Y70" s="61"/>
      <c r="Z70" s="66">
        <f t="shared" si="3"/>
        <v>-15750</v>
      </c>
      <c r="AA70" s="61"/>
      <c r="AB70" s="67"/>
      <c r="AC70" s="61"/>
      <c r="AD70" s="66"/>
      <c r="AE70" s="61"/>
      <c r="AF70" s="52">
        <f t="shared" si="4"/>
        <v>-15750</v>
      </c>
      <c r="AG70" s="46">
        <f t="shared" si="5"/>
        <v>-9425</v>
      </c>
      <c r="AH70" s="51">
        <f t="shared" si="6"/>
        <v>-25175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52650</v>
      </c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7">
        <f t="shared" si="0"/>
        <v>0</v>
      </c>
      <c r="R71" s="92">
        <f>125+9000+5000</f>
        <v>14125</v>
      </c>
      <c r="S71" s="6">
        <f t="shared" si="1"/>
        <v>38525</v>
      </c>
      <c r="T71" s="6">
        <v>-27500</v>
      </c>
      <c r="U71" s="6">
        <f t="shared" si="2"/>
        <v>11025</v>
      </c>
      <c r="V71" s="52"/>
      <c r="W71" s="57"/>
      <c r="X71" s="46"/>
      <c r="Y71" s="61"/>
      <c r="Z71" s="66">
        <f t="shared" si="3"/>
        <v>-38525</v>
      </c>
      <c r="AA71" s="61"/>
      <c r="AB71" s="64"/>
      <c r="AC71" s="61"/>
      <c r="AD71" s="66"/>
      <c r="AE71" s="61"/>
      <c r="AF71" s="52">
        <f t="shared" si="4"/>
        <v>-38525</v>
      </c>
      <c r="AG71" s="46">
        <f t="shared" si="5"/>
        <v>-27500</v>
      </c>
      <c r="AH71" s="51">
        <f t="shared" si="6"/>
        <v>-66025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92">
        <f>SUM(C7:C72)</f>
        <v>489345</v>
      </c>
      <c r="D73" s="92">
        <f t="shared" ref="D73:V73" si="11">SUM(D7:D72)</f>
        <v>28525</v>
      </c>
      <c r="E73" s="92">
        <f t="shared" si="11"/>
        <v>0</v>
      </c>
      <c r="F73" s="92">
        <f t="shared" si="11"/>
        <v>0</v>
      </c>
      <c r="G73" s="92">
        <f t="shared" si="11"/>
        <v>7600</v>
      </c>
      <c r="H73" s="27">
        <f t="shared" si="11"/>
        <v>0</v>
      </c>
      <c r="I73" s="92">
        <f t="shared" si="11"/>
        <v>0</v>
      </c>
      <c r="J73" s="92">
        <f t="shared" si="11"/>
        <v>0</v>
      </c>
      <c r="K73" s="92">
        <f t="shared" si="11"/>
        <v>11440</v>
      </c>
      <c r="L73" s="92">
        <f t="shared" si="11"/>
        <v>0</v>
      </c>
      <c r="M73" s="92">
        <f t="shared" si="11"/>
        <v>0</v>
      </c>
      <c r="N73" s="92">
        <f t="shared" si="11"/>
        <v>0</v>
      </c>
      <c r="O73" s="92">
        <f t="shared" si="11"/>
        <v>0</v>
      </c>
      <c r="P73" s="92">
        <f t="shared" si="11"/>
        <v>0</v>
      </c>
      <c r="Q73" s="92">
        <f t="shared" si="11"/>
        <v>19040</v>
      </c>
      <c r="R73" s="92">
        <f t="shared" si="11"/>
        <v>76510</v>
      </c>
      <c r="S73" s="92">
        <f t="shared" si="11"/>
        <v>441360</v>
      </c>
      <c r="T73" s="92">
        <f t="shared" si="11"/>
        <v>-286670</v>
      </c>
      <c r="U73" s="92">
        <f t="shared" si="11"/>
        <v>154690</v>
      </c>
      <c r="V73" s="92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-441360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-441360</v>
      </c>
      <c r="AG73" s="43">
        <f t="shared" si="12"/>
        <v>-286670</v>
      </c>
      <c r="AH73" s="43">
        <f t="shared" si="12"/>
        <v>-728030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19040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22230+17745+57380+29320+61560+28240+13120+27275+31350+20210+43445+62855+20480+32760+19215+21910+42275+27200+32640+18415+34165+49110+51930+50810+27510+27550+1900+46075+11025+9210+5000</f>
        <v>943910</v>
      </c>
      <c r="S74" s="211"/>
      <c r="T74" s="212">
        <f>R74+R75</f>
        <v>2211395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28525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67910+41340+29550+73150+14100+41250+51120+38200+11150+66225+22700+27200+42525+23675+54500+53675+26000+25360+54960+34320+37930+38460+24400+32280+75845+57550+78390+24020+58900+45800-5000</f>
        <v>1267485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76510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41950+74675+64900+38275+27525+19825+26150+23150+52180+60900+2000+28000+38150+23500+44000+36040+57260+31000+26650+65990+23100+18265+77625+25860+36800+41775+69290+33390+37040+38650+14300</f>
        <v>1198215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6950+12000+12000+12000+12000+12000+6000+6000+6000+12200+12000+12000+6000+12000+12000+5200+12000+6000+10200+12000+500+10000+7000+12000+6000+13000+3500</f>
        <v>248550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6000+6030+4000+10000+2210</f>
        <v>28240</v>
      </c>
      <c r="N77" s="40" t="s">
        <v>90</v>
      </c>
      <c r="O77" s="82">
        <f>2000+1990</f>
        <v>3990</v>
      </c>
      <c r="P77" s="40" t="s">
        <v>91</v>
      </c>
      <c r="Q77" s="40">
        <f>8000+6500</f>
        <v>14500</v>
      </c>
      <c r="R77" s="197">
        <f>Q77+O77+M77+J77+F77</f>
        <v>295280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20300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27265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902935</v>
      </c>
      <c r="S80" s="197"/>
      <c r="T80" s="22"/>
      <c r="U80" s="22"/>
      <c r="V80" s="2"/>
      <c r="X80" s="63">
        <f>SUM(X77:X79)</f>
        <v>47565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94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6950</v>
      </c>
      <c r="S87" s="36">
        <v>1</v>
      </c>
      <c r="T87" s="36">
        <v>41950</v>
      </c>
      <c r="U87" s="36">
        <v>1</v>
      </c>
      <c r="V87" s="36">
        <v>22230</v>
      </c>
      <c r="W87" s="36">
        <v>67910</v>
      </c>
      <c r="X87" s="36">
        <f>SUM(V87:W87)</f>
        <v>90140</v>
      </c>
      <c r="Z87" s="36">
        <v>25600</v>
      </c>
      <c r="AA87" s="36">
        <v>11870</v>
      </c>
    </row>
    <row r="88" spans="1:31">
      <c r="B88" s="36"/>
      <c r="C88" s="36"/>
      <c r="O88" s="36">
        <v>8000</v>
      </c>
      <c r="R88" s="36">
        <v>12000</v>
      </c>
      <c r="S88" s="36">
        <v>2</v>
      </c>
      <c r="T88" s="36">
        <v>74675</v>
      </c>
      <c r="U88" s="36">
        <v>2</v>
      </c>
      <c r="V88" s="36">
        <v>17745</v>
      </c>
      <c r="W88" s="36">
        <v>41340</v>
      </c>
      <c r="X88" s="36">
        <f t="shared" ref="X88:X117" si="13">SUM(V88:W88)</f>
        <v>59085</v>
      </c>
      <c r="Z88" s="36">
        <v>4000</v>
      </c>
      <c r="AA88" s="36">
        <v>10000</v>
      </c>
    </row>
    <row r="89" spans="1:31">
      <c r="B89" s="36"/>
      <c r="R89" s="36">
        <v>12000</v>
      </c>
      <c r="S89" s="36">
        <v>3</v>
      </c>
      <c r="T89" s="36">
        <v>64900</v>
      </c>
      <c r="U89" s="36">
        <v>3</v>
      </c>
      <c r="V89" s="36">
        <v>57380</v>
      </c>
      <c r="W89" s="36">
        <v>29550</v>
      </c>
      <c r="X89" s="36">
        <f t="shared" si="13"/>
        <v>86930</v>
      </c>
      <c r="Z89" s="36">
        <v>49940</v>
      </c>
      <c r="AA89" s="36">
        <v>9840</v>
      </c>
    </row>
    <row r="90" spans="1:31">
      <c r="B90" s="36"/>
      <c r="C90" s="36"/>
      <c r="R90" s="36">
        <v>12000</v>
      </c>
      <c r="S90" s="36">
        <v>4</v>
      </c>
      <c r="T90" s="36">
        <v>38275</v>
      </c>
      <c r="U90" s="36">
        <v>4</v>
      </c>
      <c r="V90" s="36">
        <v>29320</v>
      </c>
      <c r="W90" s="36">
        <v>73150</v>
      </c>
      <c r="X90" s="36">
        <f t="shared" si="13"/>
        <v>102470</v>
      </c>
      <c r="Z90" s="36">
        <v>14400</v>
      </c>
      <c r="AA90" s="36">
        <v>13120</v>
      </c>
    </row>
    <row r="91" spans="1:31">
      <c r="B91" s="36"/>
      <c r="C91" s="36"/>
      <c r="R91" s="36">
        <v>6000</v>
      </c>
      <c r="S91" s="36">
        <v>5</v>
      </c>
      <c r="T91" s="36">
        <v>27525</v>
      </c>
      <c r="U91" s="36">
        <v>5</v>
      </c>
      <c r="V91" s="83">
        <v>61560</v>
      </c>
      <c r="W91" s="83">
        <v>14100</v>
      </c>
      <c r="X91" s="36">
        <f t="shared" si="13"/>
        <v>75660</v>
      </c>
      <c r="Z91" s="36">
        <v>5000</v>
      </c>
      <c r="AA91" s="36">
        <v>11825</v>
      </c>
    </row>
    <row r="92" spans="1:31">
      <c r="B92" s="36"/>
      <c r="C92" s="36"/>
      <c r="R92" s="36">
        <v>12000</v>
      </c>
      <c r="S92" s="36">
        <v>6</v>
      </c>
      <c r="T92" s="36">
        <v>19825</v>
      </c>
      <c r="U92" s="36">
        <v>6</v>
      </c>
      <c r="V92" s="36">
        <v>28240</v>
      </c>
      <c r="W92" s="36">
        <v>41250</v>
      </c>
      <c r="X92" s="36">
        <f t="shared" si="13"/>
        <v>69490</v>
      </c>
      <c r="Z92" s="36">
        <v>9950</v>
      </c>
      <c r="AA92" s="36">
        <v>6050</v>
      </c>
    </row>
    <row r="93" spans="1:31">
      <c r="B93" s="36"/>
      <c r="C93" s="41"/>
      <c r="P93" s="36"/>
      <c r="Q93" s="36"/>
      <c r="R93" s="36">
        <v>12000</v>
      </c>
      <c r="S93" s="36">
        <v>7</v>
      </c>
      <c r="T93" s="36">
        <v>26150</v>
      </c>
      <c r="U93" s="36">
        <v>7</v>
      </c>
      <c r="V93" s="36">
        <v>13120</v>
      </c>
      <c r="W93" s="36">
        <v>51120</v>
      </c>
      <c r="X93" s="36">
        <f t="shared" si="13"/>
        <v>64240</v>
      </c>
      <c r="Z93" s="36">
        <v>17870</v>
      </c>
      <c r="AA93" s="36">
        <v>7800</v>
      </c>
    </row>
    <row r="94" spans="1:31">
      <c r="B94" s="36"/>
      <c r="C94" s="36"/>
      <c r="O94" s="36"/>
      <c r="P94" s="36">
        <v>2000</v>
      </c>
      <c r="Q94" s="36">
        <v>6000</v>
      </c>
      <c r="R94" s="36">
        <v>6000</v>
      </c>
      <c r="S94" s="36">
        <v>8</v>
      </c>
      <c r="T94" s="36">
        <v>23150</v>
      </c>
      <c r="U94" s="36">
        <v>8</v>
      </c>
      <c r="V94" s="36">
        <v>27275</v>
      </c>
      <c r="W94" s="36">
        <v>38200</v>
      </c>
      <c r="X94" s="36">
        <f t="shared" si="13"/>
        <v>65475</v>
      </c>
      <c r="Z94" s="36">
        <v>29625</v>
      </c>
      <c r="AA94" s="36">
        <v>15250</v>
      </c>
    </row>
    <row r="95" spans="1:31">
      <c r="B95" s="36"/>
      <c r="C95" s="36"/>
      <c r="O95" s="36">
        <v>6500</v>
      </c>
      <c r="P95" s="36"/>
      <c r="Q95" s="36">
        <v>6030</v>
      </c>
      <c r="R95" s="36">
        <v>6000</v>
      </c>
      <c r="S95" s="36">
        <v>9</v>
      </c>
      <c r="T95" s="36">
        <v>54180</v>
      </c>
      <c r="U95" s="36">
        <v>9</v>
      </c>
      <c r="V95" s="36">
        <v>31350</v>
      </c>
      <c r="W95" s="36">
        <v>11150</v>
      </c>
      <c r="X95" s="36">
        <f t="shared" si="13"/>
        <v>42500</v>
      </c>
      <c r="Z95" s="36">
        <v>41205</v>
      </c>
      <c r="AA95" s="36">
        <v>5000</v>
      </c>
    </row>
    <row r="96" spans="1:31">
      <c r="B96" s="36"/>
      <c r="C96" s="36"/>
      <c r="O96" s="36"/>
      <c r="P96" s="36"/>
      <c r="Q96" s="36"/>
      <c r="R96" s="36">
        <f>6200+6000</f>
        <v>12200</v>
      </c>
      <c r="S96" s="36">
        <v>10</v>
      </c>
      <c r="T96" s="36">
        <v>60900</v>
      </c>
      <c r="U96" s="36">
        <v>10</v>
      </c>
      <c r="V96" s="36">
        <v>20210</v>
      </c>
      <c r="W96" s="36">
        <v>66225</v>
      </c>
      <c r="X96" s="36">
        <f t="shared" si="13"/>
        <v>86435</v>
      </c>
      <c r="Z96" s="36">
        <v>7850</v>
      </c>
      <c r="AA96" s="36">
        <v>7500</v>
      </c>
    </row>
    <row r="97" spans="15:26">
      <c r="O97" s="36"/>
      <c r="P97" s="36"/>
      <c r="Q97" s="36"/>
      <c r="R97" s="36">
        <v>12000</v>
      </c>
      <c r="S97" s="36">
        <v>11</v>
      </c>
      <c r="T97" s="36">
        <v>28000</v>
      </c>
      <c r="U97" s="36">
        <v>11</v>
      </c>
      <c r="V97" s="36">
        <v>43445</v>
      </c>
      <c r="W97" s="36">
        <v>22700</v>
      </c>
      <c r="X97" s="36">
        <f t="shared" si="13"/>
        <v>66145</v>
      </c>
      <c r="Z97" s="36">
        <v>25260</v>
      </c>
    </row>
    <row r="98" spans="15:26">
      <c r="O98" s="36"/>
      <c r="P98" s="36"/>
      <c r="Q98" s="36"/>
      <c r="R98" s="36">
        <v>12000</v>
      </c>
      <c r="S98" s="36">
        <v>12</v>
      </c>
      <c r="T98" s="36">
        <v>38150</v>
      </c>
      <c r="U98" s="36">
        <v>12</v>
      </c>
      <c r="V98" s="36">
        <v>62855</v>
      </c>
      <c r="W98" s="36">
        <v>27200</v>
      </c>
      <c r="X98" s="36">
        <f t="shared" si="13"/>
        <v>90055</v>
      </c>
      <c r="Z98" s="36">
        <v>19215</v>
      </c>
    </row>
    <row r="99" spans="15:26">
      <c r="O99" s="36"/>
      <c r="P99" s="36"/>
      <c r="Q99" s="36"/>
      <c r="R99" s="36">
        <v>6000</v>
      </c>
      <c r="S99" s="36">
        <v>13</v>
      </c>
      <c r="T99" s="36">
        <v>23500</v>
      </c>
      <c r="U99" s="36">
        <v>13</v>
      </c>
      <c r="V99" s="36">
        <v>20480</v>
      </c>
      <c r="W99" s="36">
        <v>42525</v>
      </c>
      <c r="X99" s="36">
        <f t="shared" si="13"/>
        <v>63005</v>
      </c>
    </row>
    <row r="100" spans="15:26">
      <c r="O100" s="36"/>
      <c r="P100" s="36"/>
      <c r="Q100" s="36"/>
      <c r="R100" s="36"/>
      <c r="S100" s="36">
        <v>14</v>
      </c>
      <c r="T100" s="36">
        <v>44000</v>
      </c>
      <c r="U100" s="36">
        <v>14</v>
      </c>
      <c r="V100" s="36">
        <v>32760</v>
      </c>
      <c r="W100" s="36">
        <v>23675</v>
      </c>
      <c r="X100" s="36">
        <f t="shared" si="13"/>
        <v>56435</v>
      </c>
    </row>
    <row r="101" spans="15:26">
      <c r="O101" s="36"/>
      <c r="P101" s="36"/>
      <c r="Q101" s="36"/>
      <c r="R101" s="36">
        <v>12000</v>
      </c>
      <c r="S101" s="36">
        <v>15</v>
      </c>
      <c r="T101" s="36">
        <v>36040</v>
      </c>
      <c r="U101" s="36">
        <v>15</v>
      </c>
      <c r="V101" s="36">
        <v>19215</v>
      </c>
      <c r="W101" s="36">
        <v>54500</v>
      </c>
      <c r="X101" s="36">
        <f t="shared" si="13"/>
        <v>73715</v>
      </c>
    </row>
    <row r="102" spans="15:26">
      <c r="O102" s="36"/>
      <c r="P102" s="36"/>
      <c r="Q102" s="36"/>
      <c r="R102" s="36"/>
      <c r="S102" s="36">
        <v>16</v>
      </c>
      <c r="T102" s="36">
        <v>57260</v>
      </c>
      <c r="U102" s="36">
        <v>16</v>
      </c>
      <c r="V102" s="36">
        <v>21910</v>
      </c>
      <c r="W102" s="36">
        <v>53675</v>
      </c>
      <c r="X102" s="36">
        <f t="shared" si="13"/>
        <v>75585</v>
      </c>
    </row>
    <row r="103" spans="15:26">
      <c r="O103" s="36"/>
      <c r="P103" s="36"/>
      <c r="Q103" s="36"/>
      <c r="R103" s="36">
        <v>12000</v>
      </c>
      <c r="S103" s="36">
        <v>17</v>
      </c>
      <c r="T103" s="36">
        <v>31000</v>
      </c>
      <c r="U103" s="36">
        <v>17</v>
      </c>
      <c r="V103" s="36">
        <v>42275</v>
      </c>
      <c r="W103" s="36">
        <v>26000</v>
      </c>
      <c r="X103" s="36">
        <f t="shared" si="13"/>
        <v>68275</v>
      </c>
    </row>
    <row r="104" spans="15:26">
      <c r="O104" s="36"/>
      <c r="P104" s="36"/>
      <c r="Q104" s="36"/>
      <c r="R104" s="36">
        <v>5200</v>
      </c>
      <c r="S104" s="36">
        <v>18</v>
      </c>
      <c r="T104" s="36">
        <v>26650</v>
      </c>
      <c r="U104" s="36">
        <v>18</v>
      </c>
      <c r="V104" s="36">
        <v>27200</v>
      </c>
      <c r="W104" s="36">
        <v>25360</v>
      </c>
      <c r="X104" s="36">
        <f t="shared" si="13"/>
        <v>52560</v>
      </c>
    </row>
    <row r="105" spans="15:26">
      <c r="O105" s="36"/>
      <c r="P105" s="36"/>
      <c r="Q105" s="36"/>
      <c r="R105" s="36">
        <v>12000</v>
      </c>
      <c r="S105" s="36">
        <v>19</v>
      </c>
      <c r="T105" s="36">
        <v>65990</v>
      </c>
      <c r="U105" s="36">
        <v>19</v>
      </c>
      <c r="V105" s="36">
        <v>32640</v>
      </c>
      <c r="W105" s="36">
        <v>54960</v>
      </c>
      <c r="X105" s="36">
        <f t="shared" si="13"/>
        <v>87600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23100</v>
      </c>
      <c r="U106" s="36">
        <v>20</v>
      </c>
      <c r="V106" s="36">
        <v>18415</v>
      </c>
      <c r="W106" s="36">
        <v>34320</v>
      </c>
      <c r="X106" s="36">
        <f t="shared" si="13"/>
        <v>52735</v>
      </c>
    </row>
    <row r="107" spans="15:26">
      <c r="O107" s="36"/>
      <c r="P107" s="36"/>
      <c r="Q107" s="36">
        <v>4000</v>
      </c>
      <c r="R107" s="36">
        <v>10200</v>
      </c>
      <c r="S107" s="36">
        <v>21</v>
      </c>
      <c r="T107" s="36">
        <v>18265</v>
      </c>
      <c r="U107" s="36">
        <v>21</v>
      </c>
      <c r="V107" s="36">
        <v>34165</v>
      </c>
      <c r="W107" s="36">
        <v>37930</v>
      </c>
      <c r="X107" s="36">
        <f t="shared" si="13"/>
        <v>72095</v>
      </c>
    </row>
    <row r="108" spans="15:26">
      <c r="O108" s="36"/>
      <c r="P108" s="36"/>
      <c r="Q108" s="36">
        <v>10000</v>
      </c>
      <c r="R108" s="36">
        <v>12000</v>
      </c>
      <c r="S108" s="36">
        <v>22</v>
      </c>
      <c r="T108" s="36">
        <v>77625</v>
      </c>
      <c r="U108" s="36">
        <v>22</v>
      </c>
      <c r="V108" s="36">
        <v>49110</v>
      </c>
      <c r="W108" s="36">
        <v>38460</v>
      </c>
      <c r="X108" s="36">
        <f t="shared" si="13"/>
        <v>87570</v>
      </c>
    </row>
    <row r="109" spans="15:26">
      <c r="O109" s="36"/>
      <c r="P109" s="36"/>
      <c r="Q109" s="36"/>
      <c r="R109" s="36">
        <v>500</v>
      </c>
      <c r="S109" s="36">
        <v>23</v>
      </c>
      <c r="T109" s="36">
        <v>25860</v>
      </c>
      <c r="U109" s="36">
        <v>23</v>
      </c>
      <c r="V109" s="36">
        <v>51930</v>
      </c>
      <c r="W109" s="36">
        <v>24400</v>
      </c>
      <c r="X109" s="36">
        <f t="shared" si="13"/>
        <v>76330</v>
      </c>
    </row>
    <row r="110" spans="15:26">
      <c r="O110" s="36"/>
      <c r="P110" s="36"/>
      <c r="Q110" s="36"/>
      <c r="R110" s="36">
        <v>10000</v>
      </c>
      <c r="S110" s="36">
        <v>24</v>
      </c>
      <c r="T110" s="36">
        <v>36800</v>
      </c>
      <c r="U110" s="36">
        <v>24</v>
      </c>
      <c r="V110" s="36">
        <v>50810</v>
      </c>
      <c r="W110" s="36">
        <v>32280</v>
      </c>
      <c r="X110" s="36">
        <f t="shared" si="13"/>
        <v>83090</v>
      </c>
    </row>
    <row r="111" spans="15:26">
      <c r="O111" s="36"/>
      <c r="P111" s="36"/>
      <c r="Q111" s="36"/>
      <c r="R111" s="36">
        <v>7000</v>
      </c>
      <c r="S111" s="36">
        <v>25</v>
      </c>
      <c r="T111" s="36">
        <v>41775</v>
      </c>
      <c r="U111" s="36">
        <v>25</v>
      </c>
      <c r="V111" s="36">
        <v>27510</v>
      </c>
      <c r="W111" s="36">
        <v>75845</v>
      </c>
      <c r="X111" s="36">
        <f t="shared" si="13"/>
        <v>103355</v>
      </c>
    </row>
    <row r="112" spans="15:26">
      <c r="O112" s="36"/>
      <c r="P112" s="36"/>
      <c r="Q112" s="36"/>
      <c r="R112" s="36">
        <v>12000</v>
      </c>
      <c r="S112" s="36">
        <v>26</v>
      </c>
      <c r="T112" s="36">
        <v>69290</v>
      </c>
      <c r="U112" s="36">
        <v>26</v>
      </c>
      <c r="V112" s="36">
        <v>27525</v>
      </c>
      <c r="W112" s="36">
        <v>57550</v>
      </c>
      <c r="X112" s="36">
        <f t="shared" si="13"/>
        <v>85075</v>
      </c>
    </row>
    <row r="113" spans="15:27">
      <c r="O113" s="36"/>
      <c r="P113" s="36"/>
      <c r="Q113" s="36">
        <v>2210</v>
      </c>
      <c r="R113" s="36">
        <v>6000</v>
      </c>
      <c r="S113" s="36">
        <v>27</v>
      </c>
      <c r="T113" s="36">
        <v>33390</v>
      </c>
      <c r="U113" s="36">
        <v>27</v>
      </c>
      <c r="V113" s="36">
        <v>1900</v>
      </c>
      <c r="W113" s="36">
        <v>78390</v>
      </c>
      <c r="X113" s="36">
        <f t="shared" si="13"/>
        <v>80290</v>
      </c>
    </row>
    <row r="114" spans="15:27">
      <c r="O114" s="36"/>
      <c r="P114" s="36">
        <v>1990</v>
      </c>
      <c r="Q114" s="36"/>
      <c r="R114" s="36">
        <v>13000</v>
      </c>
      <c r="S114" s="36">
        <v>28</v>
      </c>
      <c r="T114" s="36">
        <v>37040</v>
      </c>
      <c r="U114" s="36">
        <v>28</v>
      </c>
      <c r="V114" s="36">
        <v>46075</v>
      </c>
      <c r="W114" s="36">
        <v>24020</v>
      </c>
      <c r="X114" s="36">
        <f t="shared" si="13"/>
        <v>70095</v>
      </c>
    </row>
    <row r="115" spans="15:27">
      <c r="O115" s="36">
        <v>7000</v>
      </c>
      <c r="P115" s="36"/>
      <c r="Q115" s="36"/>
      <c r="R115" s="36">
        <v>7000</v>
      </c>
      <c r="S115" s="36">
        <v>29</v>
      </c>
      <c r="T115" s="36">
        <v>38650</v>
      </c>
      <c r="U115" s="36">
        <v>29</v>
      </c>
      <c r="V115" s="36">
        <v>11025</v>
      </c>
      <c r="W115" s="36">
        <v>58900</v>
      </c>
      <c r="X115" s="36">
        <f t="shared" si="13"/>
        <v>69925</v>
      </c>
    </row>
    <row r="116" spans="15:27">
      <c r="O116" s="36"/>
      <c r="P116" s="36"/>
      <c r="Q116" s="36"/>
      <c r="R116" s="36">
        <v>3500</v>
      </c>
      <c r="S116" s="36">
        <v>30</v>
      </c>
      <c r="T116" s="36">
        <v>14300</v>
      </c>
      <c r="U116" s="36">
        <v>30</v>
      </c>
      <c r="V116" s="36">
        <v>9210</v>
      </c>
      <c r="W116" s="36">
        <v>45800</v>
      </c>
      <c r="X116" s="36">
        <f t="shared" si="13"/>
        <v>55010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21500</v>
      </c>
      <c r="P118" s="63">
        <f t="shared" si="14"/>
        <v>3990</v>
      </c>
      <c r="Q118" s="63">
        <f t="shared" si="14"/>
        <v>28240</v>
      </c>
      <c r="R118" s="63">
        <f t="shared" si="14"/>
        <v>255550</v>
      </c>
      <c r="S118" s="63"/>
      <c r="T118" s="63">
        <f>SUM(T87:T117)</f>
        <v>1198215</v>
      </c>
      <c r="U118" s="63"/>
      <c r="V118" s="63">
        <f>SUM(V87:V117)</f>
        <v>938885</v>
      </c>
      <c r="W118" s="63">
        <f>SUM(W87:W117)</f>
        <v>1272485</v>
      </c>
      <c r="X118" s="36">
        <f>SUM(V118:W118)</f>
        <v>2211370</v>
      </c>
      <c r="Z118" s="63">
        <f>SUM(Z87:Z117)</f>
        <v>249915</v>
      </c>
      <c r="AA118" s="63">
        <f>SUM(AA87:AA117)</f>
        <v>98255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2" activePane="bottomRight" state="frozen"/>
      <selection activeCell="O32" sqref="O32"/>
      <selection pane="topRight" activeCell="O32" sqref="O32"/>
      <selection pane="bottomLeft" activeCell="O32" sqref="O32"/>
      <selection pane="bottomRight" activeCell="L73" sqref="L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161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157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16400</v>
      </c>
      <c r="D7" s="6"/>
      <c r="E7" s="6"/>
      <c r="F7" s="6"/>
      <c r="G7" s="6">
        <v>2000</v>
      </c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2000</v>
      </c>
      <c r="R7" s="6">
        <v>3000</v>
      </c>
      <c r="S7" s="6">
        <f>C7+D7-R7</f>
        <v>13400</v>
      </c>
      <c r="T7" s="34">
        <v>-9150</v>
      </c>
      <c r="U7" s="6">
        <f>S7+T7</f>
        <v>4250</v>
      </c>
      <c r="V7" s="52"/>
      <c r="W7" s="57"/>
      <c r="X7" s="46"/>
      <c r="Y7" s="65"/>
      <c r="Z7" s="66">
        <f>W7-S7</f>
        <v>-13400</v>
      </c>
      <c r="AA7" s="65"/>
      <c r="AB7" s="67"/>
      <c r="AC7" s="65"/>
      <c r="AD7" s="47"/>
      <c r="AE7" s="61"/>
      <c r="AF7" s="52">
        <f>SUM(Y7:AE7)</f>
        <v>-13400</v>
      </c>
      <c r="AG7" s="46">
        <f>U7+AF7</f>
        <v>-9150</v>
      </c>
      <c r="AH7" s="51">
        <f>AG7-S7</f>
        <v>-22550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33900</v>
      </c>
      <c r="D8" s="6"/>
      <c r="E8" s="6"/>
      <c r="F8" s="6"/>
      <c r="G8" s="6">
        <v>16850</v>
      </c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16850</v>
      </c>
      <c r="R8" s="6">
        <f>3000+250</f>
        <v>3250</v>
      </c>
      <c r="S8" s="6">
        <f t="shared" ref="S8:S71" si="1">C8+D8-R8</f>
        <v>30650</v>
      </c>
      <c r="T8" s="6">
        <v>-24350</v>
      </c>
      <c r="U8" s="6">
        <f t="shared" ref="U8:U71" si="2">S8+T8</f>
        <v>6300</v>
      </c>
      <c r="V8" s="52"/>
      <c r="W8" s="57"/>
      <c r="X8" s="46"/>
      <c r="Y8" s="61"/>
      <c r="Z8" s="66">
        <f t="shared" ref="Z8:Z71" si="3">W8-S8</f>
        <v>-30650</v>
      </c>
      <c r="AA8" s="61"/>
      <c r="AB8" s="67"/>
      <c r="AC8" s="61"/>
      <c r="AD8" s="66"/>
      <c r="AE8" s="61"/>
      <c r="AF8" s="52">
        <f t="shared" ref="AF8:AF71" si="4">SUM(Y8:AE8)</f>
        <v>-30650</v>
      </c>
      <c r="AG8" s="46">
        <f t="shared" ref="AG8:AG71" si="5">U8+AF8</f>
        <v>-24350</v>
      </c>
      <c r="AH8" s="51">
        <f t="shared" ref="AH8:AH71" si="6">AG8-S8</f>
        <v>-55000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5800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50</v>
      </c>
      <c r="S11" s="6">
        <f t="shared" si="1"/>
        <v>5750</v>
      </c>
      <c r="T11" s="6">
        <v>-3750</v>
      </c>
      <c r="U11" s="6">
        <f t="shared" si="2"/>
        <v>2000</v>
      </c>
      <c r="V11" s="52"/>
      <c r="W11" s="57"/>
      <c r="X11" s="46"/>
      <c r="Y11" s="61"/>
      <c r="Z11" s="66">
        <f t="shared" si="3"/>
        <v>-5750</v>
      </c>
      <c r="AA11" s="61"/>
      <c r="AB11" s="67"/>
      <c r="AC11" s="61"/>
      <c r="AD11" s="66"/>
      <c r="AE11" s="61"/>
      <c r="AF11" s="52">
        <f t="shared" si="4"/>
        <v>-5750</v>
      </c>
      <c r="AG11" s="46">
        <f t="shared" si="5"/>
        <v>-3750</v>
      </c>
      <c r="AH11" s="51">
        <f t="shared" si="6"/>
        <v>-9500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1050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1050</v>
      </c>
      <c r="T12" s="6">
        <v>4700</v>
      </c>
      <c r="U12" s="6">
        <f t="shared" si="2"/>
        <v>5750</v>
      </c>
      <c r="V12" s="52"/>
      <c r="W12" s="57"/>
      <c r="X12" s="46"/>
      <c r="Y12" s="61"/>
      <c r="Z12" s="66">
        <f t="shared" si="3"/>
        <v>-1050</v>
      </c>
      <c r="AA12" s="61"/>
      <c r="AB12" s="67"/>
      <c r="AC12" s="61"/>
      <c r="AD12" s="66"/>
      <c r="AE12" s="61"/>
      <c r="AF12" s="52">
        <f t="shared" si="4"/>
        <v>-1050</v>
      </c>
      <c r="AG12" s="46">
        <f t="shared" si="5"/>
        <v>4700</v>
      </c>
      <c r="AH12" s="51">
        <f t="shared" si="6"/>
        <v>3650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12260</v>
      </c>
      <c r="D14" s="6">
        <f>6000+10450</f>
        <v>16450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1700+1000+1000+1000+1450+6000+2250+3000</f>
        <v>17400</v>
      </c>
      <c r="S14" s="6">
        <f t="shared" si="1"/>
        <v>11310</v>
      </c>
      <c r="T14" s="6">
        <v>-5760</v>
      </c>
      <c r="U14" s="6">
        <f t="shared" si="2"/>
        <v>5550</v>
      </c>
      <c r="V14" s="52"/>
      <c r="W14" s="57"/>
      <c r="X14" s="46"/>
      <c r="Y14" s="61"/>
      <c r="Z14" s="66">
        <f t="shared" si="3"/>
        <v>-11310</v>
      </c>
      <c r="AA14" s="61"/>
      <c r="AB14" s="66"/>
      <c r="AC14" s="61"/>
      <c r="AD14" s="66"/>
      <c r="AE14" s="61"/>
      <c r="AF14" s="52">
        <f t="shared" si="4"/>
        <v>-11310</v>
      </c>
      <c r="AG14" s="46">
        <f t="shared" si="5"/>
        <v>-5760</v>
      </c>
      <c r="AH14" s="51">
        <f t="shared" si="6"/>
        <v>-17070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12500</v>
      </c>
      <c r="D16" s="6"/>
      <c r="E16" s="6"/>
      <c r="F16" s="6"/>
      <c r="G16" s="6">
        <v>4000</v>
      </c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4000</v>
      </c>
      <c r="R16" s="6">
        <v>100</v>
      </c>
      <c r="S16" s="6">
        <f t="shared" si="1"/>
        <v>12400</v>
      </c>
      <c r="T16" s="34">
        <v>-10050</v>
      </c>
      <c r="U16" s="6">
        <f t="shared" si="2"/>
        <v>2350</v>
      </c>
      <c r="V16" s="52"/>
      <c r="W16" s="57"/>
      <c r="X16" s="46"/>
      <c r="Y16" s="61"/>
      <c r="Z16" s="66">
        <f t="shared" si="3"/>
        <v>-12400</v>
      </c>
      <c r="AA16" s="61"/>
      <c r="AB16" s="67"/>
      <c r="AC16" s="61"/>
      <c r="AD16" s="47"/>
      <c r="AE16" s="61"/>
      <c r="AF16" s="52">
        <f t="shared" si="4"/>
        <v>-12400</v>
      </c>
      <c r="AG16" s="46">
        <f t="shared" si="5"/>
        <v>-10050</v>
      </c>
      <c r="AH16" s="51">
        <f t="shared" si="6"/>
        <v>-22450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6900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v>500</v>
      </c>
      <c r="S17" s="6">
        <f t="shared" si="1"/>
        <v>6400</v>
      </c>
      <c r="T17" s="6">
        <v>-5000</v>
      </c>
      <c r="U17" s="6">
        <f t="shared" si="2"/>
        <v>1400</v>
      </c>
      <c r="V17" s="52"/>
      <c r="W17" s="57"/>
      <c r="X17" s="46"/>
      <c r="Y17" s="61"/>
      <c r="Z17" s="66">
        <f t="shared" si="3"/>
        <v>-6400</v>
      </c>
      <c r="AA17" s="61"/>
      <c r="AB17" s="66"/>
      <c r="AC17" s="61"/>
      <c r="AD17" s="66"/>
      <c r="AE17" s="61"/>
      <c r="AF17" s="52">
        <f t="shared" si="4"/>
        <v>-6400</v>
      </c>
      <c r="AG17" s="46">
        <f t="shared" si="5"/>
        <v>-5000</v>
      </c>
      <c r="AH17" s="51">
        <f t="shared" si="6"/>
        <v>-11400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3265</v>
      </c>
      <c r="T20" s="6">
        <v>-1605</v>
      </c>
      <c r="U20" s="6">
        <f t="shared" si="2"/>
        <v>1660</v>
      </c>
      <c r="V20" s="52"/>
      <c r="W20" s="57"/>
      <c r="X20" s="46"/>
      <c r="Y20" s="61"/>
      <c r="Z20" s="66">
        <f t="shared" si="3"/>
        <v>-3265</v>
      </c>
      <c r="AA20" s="61"/>
      <c r="AB20" s="67"/>
      <c r="AC20" s="61"/>
      <c r="AD20" s="66"/>
      <c r="AE20" s="61"/>
      <c r="AF20" s="52">
        <f t="shared" si="4"/>
        <v>-3265</v>
      </c>
      <c r="AG20" s="46">
        <f t="shared" si="5"/>
        <v>-1605</v>
      </c>
      <c r="AH20" s="51">
        <f t="shared" si="6"/>
        <v>-4870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7">
        <f t="shared" si="0"/>
        <v>0</v>
      </c>
      <c r="R22" s="126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7">
        <f t="shared" si="0"/>
        <v>0</v>
      </c>
      <c r="R24" s="126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7">
        <f t="shared" si="0"/>
        <v>0</v>
      </c>
      <c r="R25" s="126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7">
        <f t="shared" si="0"/>
        <v>0</v>
      </c>
      <c r="R26" s="126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7760</v>
      </c>
      <c r="D27" s="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7">
        <f t="shared" si="0"/>
        <v>0</v>
      </c>
      <c r="R27" s="126"/>
      <c r="S27" s="6">
        <f t="shared" si="1"/>
        <v>7760</v>
      </c>
      <c r="T27" s="6">
        <v>-40</v>
      </c>
      <c r="U27" s="6">
        <f t="shared" si="2"/>
        <v>7720</v>
      </c>
      <c r="V27" s="52"/>
      <c r="W27" s="57"/>
      <c r="X27" s="46"/>
      <c r="Y27" s="61"/>
      <c r="Z27" s="66">
        <f t="shared" si="3"/>
        <v>-7760</v>
      </c>
      <c r="AA27" s="61"/>
      <c r="AB27" s="67"/>
      <c r="AC27" s="61"/>
      <c r="AD27" s="66"/>
      <c r="AE27" s="61"/>
      <c r="AF27" s="52">
        <f t="shared" si="4"/>
        <v>-7760</v>
      </c>
      <c r="AG27" s="46">
        <f t="shared" si="5"/>
        <v>-40</v>
      </c>
      <c r="AH27" s="51">
        <f t="shared" si="6"/>
        <v>-7800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1920</v>
      </c>
      <c r="D28" s="6"/>
      <c r="E28" s="126"/>
      <c r="F28" s="126"/>
      <c r="G28" s="126">
        <v>2000</v>
      </c>
      <c r="H28" s="126"/>
      <c r="I28" s="126"/>
      <c r="J28" s="126"/>
      <c r="K28" s="126"/>
      <c r="L28" s="126"/>
      <c r="M28" s="126"/>
      <c r="N28" s="126"/>
      <c r="O28" s="126"/>
      <c r="P28" s="126"/>
      <c r="Q28" s="7">
        <f t="shared" si="0"/>
        <v>2000</v>
      </c>
      <c r="R28" s="126">
        <v>600</v>
      </c>
      <c r="S28" s="6">
        <f t="shared" si="1"/>
        <v>1320</v>
      </c>
      <c r="T28" s="6">
        <f>-40-100</f>
        <v>-140</v>
      </c>
      <c r="U28" s="6">
        <f t="shared" si="2"/>
        <v>1180</v>
      </c>
      <c r="V28" s="52"/>
      <c r="W28" s="57"/>
      <c r="X28" s="46"/>
      <c r="Y28" s="61"/>
      <c r="Z28" s="66">
        <f t="shared" si="3"/>
        <v>-1320</v>
      </c>
      <c r="AA28" s="61"/>
      <c r="AB28" s="67"/>
      <c r="AC28" s="61"/>
      <c r="AD28" s="66"/>
      <c r="AE28" s="61"/>
      <c r="AF28" s="52">
        <f t="shared" si="4"/>
        <v>-1320</v>
      </c>
      <c r="AG28" s="46">
        <f t="shared" si="5"/>
        <v>-140</v>
      </c>
      <c r="AH28" s="51">
        <f t="shared" si="6"/>
        <v>-1460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1740</v>
      </c>
      <c r="D29" s="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7">
        <f t="shared" si="0"/>
        <v>0</v>
      </c>
      <c r="R29" s="126"/>
      <c r="S29" s="6">
        <f t="shared" si="1"/>
        <v>1740</v>
      </c>
      <c r="T29" s="6">
        <f>860+100</f>
        <v>960</v>
      </c>
      <c r="U29" s="6">
        <f t="shared" si="2"/>
        <v>2700</v>
      </c>
      <c r="V29" s="52"/>
      <c r="W29" s="57"/>
      <c r="X29" s="46"/>
      <c r="Y29" s="61"/>
      <c r="Z29" s="66">
        <f t="shared" si="3"/>
        <v>-1740</v>
      </c>
      <c r="AA29" s="61"/>
      <c r="AB29" s="67"/>
      <c r="AC29" s="61"/>
      <c r="AD29" s="66"/>
      <c r="AE29" s="61"/>
      <c r="AF29" s="52">
        <f t="shared" si="4"/>
        <v>-1740</v>
      </c>
      <c r="AG29" s="46">
        <f t="shared" si="5"/>
        <v>960</v>
      </c>
      <c r="AH29" s="51">
        <f t="shared" si="6"/>
        <v>-780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7">
        <f t="shared" si="0"/>
        <v>0</v>
      </c>
      <c r="R30" s="126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17380</v>
      </c>
      <c r="D31" s="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7">
        <f t="shared" si="0"/>
        <v>0</v>
      </c>
      <c r="R31" s="126"/>
      <c r="S31" s="6">
        <f t="shared" si="1"/>
        <v>17380</v>
      </c>
      <c r="T31" s="6">
        <v>-17180</v>
      </c>
      <c r="U31" s="6">
        <f t="shared" si="2"/>
        <v>200</v>
      </c>
      <c r="V31" s="52"/>
      <c r="W31" s="57"/>
      <c r="X31" s="46"/>
      <c r="Y31" s="61"/>
      <c r="Z31" s="66">
        <f t="shared" si="3"/>
        <v>-17380</v>
      </c>
      <c r="AA31" s="61"/>
      <c r="AB31" s="64"/>
      <c r="AC31" s="61"/>
      <c r="AD31" s="66"/>
      <c r="AE31" s="61"/>
      <c r="AF31" s="52">
        <f t="shared" si="4"/>
        <v>-17380</v>
      </c>
      <c r="AG31" s="46">
        <f t="shared" si="5"/>
        <v>-17180</v>
      </c>
      <c r="AH31" s="51">
        <f t="shared" si="6"/>
        <v>-34560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33940</v>
      </c>
      <c r="D32" s="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6"/>
      <c r="P32" s="6"/>
      <c r="Q32" s="7">
        <f>SUM(E32:P32)</f>
        <v>0</v>
      </c>
      <c r="R32" s="126">
        <v>500</v>
      </c>
      <c r="S32" s="6">
        <f t="shared" si="1"/>
        <v>33440</v>
      </c>
      <c r="T32" s="6">
        <v>-18280</v>
      </c>
      <c r="U32" s="6">
        <f t="shared" si="2"/>
        <v>15160</v>
      </c>
      <c r="V32" s="52"/>
      <c r="W32" s="57"/>
      <c r="X32" s="46"/>
      <c r="Y32" s="61"/>
      <c r="Z32" s="66">
        <f t="shared" si="3"/>
        <v>-33440</v>
      </c>
      <c r="AA32" s="61"/>
      <c r="AB32" s="67"/>
      <c r="AC32" s="61"/>
      <c r="AD32" s="66"/>
      <c r="AE32" s="61"/>
      <c r="AF32" s="52">
        <f t="shared" si="4"/>
        <v>-33440</v>
      </c>
      <c r="AG32" s="46">
        <f t="shared" si="5"/>
        <v>-18280</v>
      </c>
      <c r="AH32" s="51">
        <f t="shared" si="6"/>
        <v>-51720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7">
        <f t="shared" si="0"/>
        <v>0</v>
      </c>
      <c r="R33" s="126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26"/>
      <c r="F34" s="126"/>
      <c r="G34" s="126"/>
      <c r="H34" s="126"/>
      <c r="I34" s="126"/>
      <c r="J34" s="126"/>
      <c r="K34" s="6"/>
      <c r="L34" s="126"/>
      <c r="M34" s="126"/>
      <c r="N34" s="126"/>
      <c r="O34" s="126"/>
      <c r="P34" s="126"/>
      <c r="Q34" s="7">
        <f t="shared" si="0"/>
        <v>0</v>
      </c>
      <c r="R34" s="126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26"/>
      <c r="F35" s="126"/>
      <c r="G35" s="126">
        <v>2000</v>
      </c>
      <c r="H35" s="126"/>
      <c r="I35" s="126"/>
      <c r="J35" s="126"/>
      <c r="K35" s="6">
        <v>460</v>
      </c>
      <c r="L35" s="126"/>
      <c r="M35" s="126"/>
      <c r="N35" s="126"/>
      <c r="O35" s="126"/>
      <c r="P35" s="126"/>
      <c r="Q35" s="7">
        <f t="shared" si="0"/>
        <v>2460</v>
      </c>
      <c r="R35" s="126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7">
        <f t="shared" si="0"/>
        <v>0</v>
      </c>
      <c r="R36" s="126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7">
        <f t="shared" si="0"/>
        <v>0</v>
      </c>
      <c r="R37" s="126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1420</v>
      </c>
      <c r="D38" s="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7">
        <f>SUM(E38:P38)</f>
        <v>0</v>
      </c>
      <c r="R38" s="126"/>
      <c r="S38" s="6">
        <f t="shared" si="1"/>
        <v>1420</v>
      </c>
      <c r="T38" s="6">
        <v>-1340</v>
      </c>
      <c r="U38" s="6">
        <f t="shared" si="2"/>
        <v>80</v>
      </c>
      <c r="V38" s="52"/>
      <c r="W38" s="57"/>
      <c r="X38" s="46"/>
      <c r="Y38" s="61"/>
      <c r="Z38" s="66">
        <f t="shared" si="3"/>
        <v>-1420</v>
      </c>
      <c r="AA38" s="61"/>
      <c r="AB38" s="64"/>
      <c r="AC38" s="61"/>
      <c r="AD38" s="66"/>
      <c r="AE38" s="61"/>
      <c r="AF38" s="52">
        <f t="shared" si="4"/>
        <v>-1420</v>
      </c>
      <c r="AG38" s="46">
        <f t="shared" si="5"/>
        <v>-1340</v>
      </c>
      <c r="AH38" s="51">
        <f t="shared" si="6"/>
        <v>-2760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7">
        <f>SUM(E39:P39)</f>
        <v>0</v>
      </c>
      <c r="R39" s="126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10820</v>
      </c>
      <c r="D40" s="6"/>
      <c r="E40" s="126"/>
      <c r="F40" s="126"/>
      <c r="G40" s="126"/>
      <c r="H40" s="27"/>
      <c r="I40" s="126"/>
      <c r="J40" s="126"/>
      <c r="K40" s="126"/>
      <c r="L40" s="126"/>
      <c r="M40" s="126"/>
      <c r="N40" s="126"/>
      <c r="O40" s="126"/>
      <c r="P40" s="126"/>
      <c r="Q40" s="7">
        <f>SUM(E40:P40)</f>
        <v>0</v>
      </c>
      <c r="R40" s="126"/>
      <c r="S40" s="6">
        <f t="shared" si="1"/>
        <v>10820</v>
      </c>
      <c r="T40" s="6">
        <f>-10260+40</f>
        <v>-10220</v>
      </c>
      <c r="U40" s="6">
        <f t="shared" si="2"/>
        <v>600</v>
      </c>
      <c r="V40" s="52"/>
      <c r="W40" s="57"/>
      <c r="X40" s="46"/>
      <c r="Y40" s="61"/>
      <c r="Z40" s="66">
        <f t="shared" si="3"/>
        <v>-10820</v>
      </c>
      <c r="AA40" s="61"/>
      <c r="AB40" s="67"/>
      <c r="AC40" s="61"/>
      <c r="AD40" s="66"/>
      <c r="AE40" s="61"/>
      <c r="AF40" s="52">
        <f t="shared" si="4"/>
        <v>-10820</v>
      </c>
      <c r="AG40" s="46">
        <f t="shared" si="5"/>
        <v>-10220</v>
      </c>
      <c r="AH40" s="51">
        <f t="shared" si="6"/>
        <v>-21040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7">
        <f>SUM(E41:P41)</f>
        <v>0</v>
      </c>
      <c r="R41" s="126">
        <v>3000</v>
      </c>
      <c r="S41" s="6">
        <f t="shared" si="1"/>
        <v>-2660</v>
      </c>
      <c r="T41" s="6">
        <v>-340</v>
      </c>
      <c r="U41" s="6">
        <f t="shared" si="2"/>
        <v>-3000</v>
      </c>
      <c r="V41" s="52"/>
      <c r="W41" s="57"/>
      <c r="X41" s="46"/>
      <c r="Y41" s="61"/>
      <c r="Z41" s="66">
        <f t="shared" si="3"/>
        <v>2660</v>
      </c>
      <c r="AA41" s="61"/>
      <c r="AB41" s="67"/>
      <c r="AC41" s="61"/>
      <c r="AD41" s="66"/>
      <c r="AE41" s="61"/>
      <c r="AF41" s="52">
        <f t="shared" si="4"/>
        <v>2660</v>
      </c>
      <c r="AG41" s="46">
        <f t="shared" si="5"/>
        <v>-340</v>
      </c>
      <c r="AH41" s="51">
        <f t="shared" si="6"/>
        <v>2320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7">
        <f>SUM(E42:P42)</f>
        <v>0</v>
      </c>
      <c r="R42" s="126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7">
        <f t="shared" si="0"/>
        <v>0</v>
      </c>
      <c r="R44" s="126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7">
        <f t="shared" si="0"/>
        <v>0</v>
      </c>
      <c r="R45" s="126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7">
        <f t="shared" si="0"/>
        <v>0</v>
      </c>
      <c r="R46" s="126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7">
        <f t="shared" si="0"/>
        <v>0</v>
      </c>
      <c r="R47" s="126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7">
        <f t="shared" si="0"/>
        <v>0</v>
      </c>
      <c r="R48" s="126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7">
        <f t="shared" si="0"/>
        <v>0</v>
      </c>
      <c r="R49" s="126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8575</v>
      </c>
      <c r="D50" s="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7">
        <f t="shared" si="0"/>
        <v>0</v>
      </c>
      <c r="R50" s="126">
        <v>125</v>
      </c>
      <c r="S50" s="6">
        <f t="shared" si="1"/>
        <v>8450</v>
      </c>
      <c r="T50" s="6">
        <f>-12000+8615</f>
        <v>-3385</v>
      </c>
      <c r="U50" s="6">
        <f t="shared" si="2"/>
        <v>5065</v>
      </c>
      <c r="V50" s="52"/>
      <c r="W50" s="57"/>
      <c r="X50" s="46"/>
      <c r="Y50" s="61"/>
      <c r="Z50" s="66">
        <f t="shared" si="3"/>
        <v>-8450</v>
      </c>
      <c r="AA50" s="61"/>
      <c r="AB50" s="64"/>
      <c r="AC50" s="61"/>
      <c r="AD50" s="66"/>
      <c r="AE50" s="61"/>
      <c r="AF50" s="52">
        <f t="shared" si="4"/>
        <v>-8450</v>
      </c>
      <c r="AG50" s="46">
        <f t="shared" si="5"/>
        <v>-3385</v>
      </c>
      <c r="AH50" s="51">
        <f t="shared" si="6"/>
        <v>-11835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7">
        <f t="shared" si="0"/>
        <v>0</v>
      </c>
      <c r="R51" s="126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7">
        <f t="shared" si="0"/>
        <v>0</v>
      </c>
      <c r="R52" s="126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7">
        <f t="shared" si="0"/>
        <v>0</v>
      </c>
      <c r="R53" s="126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7">
        <f t="shared" si="0"/>
        <v>0</v>
      </c>
      <c r="R54" s="126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7">
        <f t="shared" si="0"/>
        <v>0</v>
      </c>
      <c r="R55" s="126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7">
        <f>SUM(E56:P56)</f>
        <v>0</v>
      </c>
      <c r="R56" s="126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7">
        <f t="shared" si="0"/>
        <v>0</v>
      </c>
      <c r="R61" s="126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7">
        <f t="shared" si="0"/>
        <v>0</v>
      </c>
      <c r="R62" s="125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7">
        <f t="shared" si="0"/>
        <v>0</v>
      </c>
      <c r="R63" s="125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7">
        <f t="shared" si="0"/>
        <v>0</v>
      </c>
      <c r="R64" s="125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7">
        <f t="shared" si="0"/>
        <v>0</v>
      </c>
      <c r="R65" s="125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24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1950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7">
        <f t="shared" si="0"/>
        <v>0</v>
      </c>
      <c r="R67" s="126"/>
      <c r="S67" s="6">
        <f t="shared" si="1"/>
        <v>1950</v>
      </c>
      <c r="T67" s="6">
        <v>-1525</v>
      </c>
      <c r="U67" s="6">
        <f t="shared" si="2"/>
        <v>425</v>
      </c>
      <c r="V67" s="52"/>
      <c r="W67" s="57"/>
      <c r="X67" s="46"/>
      <c r="Y67" s="61"/>
      <c r="Z67" s="66">
        <f t="shared" si="3"/>
        <v>-1950</v>
      </c>
      <c r="AA67" s="61"/>
      <c r="AB67" s="67"/>
      <c r="AC67" s="61"/>
      <c r="AD67" s="66"/>
      <c r="AE67" s="61"/>
      <c r="AF67" s="52">
        <f t="shared" si="4"/>
        <v>-1950</v>
      </c>
      <c r="AG67" s="46">
        <f t="shared" si="5"/>
        <v>-1525</v>
      </c>
      <c r="AH67" s="51">
        <f t="shared" si="6"/>
        <v>-3475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7">
        <f t="shared" si="0"/>
        <v>0</v>
      </c>
      <c r="R68" s="126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35700</v>
      </c>
      <c r="D69" s="126">
        <v>5200</v>
      </c>
      <c r="E69" s="126"/>
      <c r="F69" s="126"/>
      <c r="G69" s="126">
        <v>5000</v>
      </c>
      <c r="H69" s="126"/>
      <c r="I69" s="126"/>
      <c r="J69" s="126"/>
      <c r="K69" s="126"/>
      <c r="L69" s="126"/>
      <c r="M69" s="126"/>
      <c r="N69" s="126"/>
      <c r="O69" s="126"/>
      <c r="P69" s="126"/>
      <c r="Q69" s="7">
        <f t="shared" si="0"/>
        <v>5000</v>
      </c>
      <c r="R69" s="126">
        <f>1750+8000+2500+1500</f>
        <v>13750</v>
      </c>
      <c r="S69" s="6">
        <f t="shared" si="1"/>
        <v>27150</v>
      </c>
      <c r="T69" s="6">
        <v>-16950</v>
      </c>
      <c r="U69" s="6">
        <f t="shared" si="2"/>
        <v>10200</v>
      </c>
      <c r="V69" s="52"/>
      <c r="W69" s="57"/>
      <c r="X69" s="46"/>
      <c r="Y69" s="61"/>
      <c r="Z69" s="66">
        <f t="shared" si="3"/>
        <v>-27150</v>
      </c>
      <c r="AA69" s="61"/>
      <c r="AB69" s="64"/>
      <c r="AC69" s="61"/>
      <c r="AD69" s="66"/>
      <c r="AE69" s="61"/>
      <c r="AF69" s="52">
        <f t="shared" si="4"/>
        <v>-27150</v>
      </c>
      <c r="AG69" s="46">
        <f t="shared" si="5"/>
        <v>-16950</v>
      </c>
      <c r="AH69" s="51">
        <f t="shared" si="6"/>
        <v>-44100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10200</v>
      </c>
      <c r="D70" s="126">
        <v>5000</v>
      </c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7">
        <f t="shared" si="0"/>
        <v>0</v>
      </c>
      <c r="R70" s="126">
        <f>2000+1000</f>
        <v>3000</v>
      </c>
      <c r="S70" s="6">
        <f t="shared" si="1"/>
        <v>12200</v>
      </c>
      <c r="T70" s="6">
        <v>-9425</v>
      </c>
      <c r="U70" s="6">
        <f t="shared" si="2"/>
        <v>2775</v>
      </c>
      <c r="V70" s="52"/>
      <c r="W70" s="57"/>
      <c r="X70" s="46"/>
      <c r="Y70" s="61"/>
      <c r="Z70" s="66">
        <f t="shared" si="3"/>
        <v>-12200</v>
      </c>
      <c r="AA70" s="61"/>
      <c r="AB70" s="67"/>
      <c r="AC70" s="61"/>
      <c r="AD70" s="66"/>
      <c r="AE70" s="61"/>
      <c r="AF70" s="52">
        <f t="shared" si="4"/>
        <v>-12200</v>
      </c>
      <c r="AG70" s="46">
        <f t="shared" si="5"/>
        <v>-9425</v>
      </c>
      <c r="AH70" s="51">
        <f t="shared" si="6"/>
        <v>-21625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51875</v>
      </c>
      <c r="D71" s="126">
        <v>8500</v>
      </c>
      <c r="E71" s="126"/>
      <c r="F71" s="126"/>
      <c r="G71" s="126">
        <f>12000+5240</f>
        <v>17240</v>
      </c>
      <c r="H71" s="126"/>
      <c r="I71" s="126"/>
      <c r="J71" s="126"/>
      <c r="K71" s="126"/>
      <c r="L71" s="126"/>
      <c r="M71" s="126"/>
      <c r="N71" s="126"/>
      <c r="O71" s="126"/>
      <c r="P71" s="126"/>
      <c r="Q71" s="7">
        <f t="shared" si="0"/>
        <v>17240</v>
      </c>
      <c r="R71" s="126">
        <f>250+8000+2500+2500+2000</f>
        <v>15250</v>
      </c>
      <c r="S71" s="6">
        <f t="shared" si="1"/>
        <v>45125</v>
      </c>
      <c r="T71" s="6">
        <v>-27500</v>
      </c>
      <c r="U71" s="6">
        <f t="shared" si="2"/>
        <v>17625</v>
      </c>
      <c r="V71" s="52"/>
      <c r="W71" s="57"/>
      <c r="X71" s="46"/>
      <c r="Y71" s="61"/>
      <c r="Z71" s="66">
        <f t="shared" si="3"/>
        <v>-45125</v>
      </c>
      <c r="AA71" s="61"/>
      <c r="AB71" s="64"/>
      <c r="AC71" s="61"/>
      <c r="AD71" s="66"/>
      <c r="AE71" s="61"/>
      <c r="AF71" s="52">
        <f t="shared" si="4"/>
        <v>-45125</v>
      </c>
      <c r="AG71" s="46">
        <f t="shared" si="5"/>
        <v>-27500</v>
      </c>
      <c r="AH71" s="51">
        <f t="shared" si="6"/>
        <v>-72625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26">
        <f>SUM(C7:C72)</f>
        <v>432470</v>
      </c>
      <c r="D73" s="126">
        <f t="shared" ref="D73:V73" si="11">SUM(D7:D72)</f>
        <v>35150</v>
      </c>
      <c r="E73" s="126">
        <f t="shared" si="11"/>
        <v>0</v>
      </c>
      <c r="F73" s="126">
        <f t="shared" si="11"/>
        <v>0</v>
      </c>
      <c r="G73" s="126">
        <f t="shared" si="11"/>
        <v>49090</v>
      </c>
      <c r="H73" s="27">
        <f t="shared" si="11"/>
        <v>0</v>
      </c>
      <c r="I73" s="126">
        <f t="shared" si="11"/>
        <v>0</v>
      </c>
      <c r="J73" s="126">
        <f t="shared" si="11"/>
        <v>0</v>
      </c>
      <c r="K73" s="126">
        <f t="shared" si="11"/>
        <v>460</v>
      </c>
      <c r="L73" s="126">
        <f t="shared" si="11"/>
        <v>0</v>
      </c>
      <c r="M73" s="126">
        <f t="shared" si="11"/>
        <v>0</v>
      </c>
      <c r="N73" s="126">
        <f t="shared" si="11"/>
        <v>0</v>
      </c>
      <c r="O73" s="126">
        <f t="shared" si="11"/>
        <v>0</v>
      </c>
      <c r="P73" s="126">
        <f t="shared" si="11"/>
        <v>0</v>
      </c>
      <c r="Q73" s="126">
        <f t="shared" si="11"/>
        <v>49550</v>
      </c>
      <c r="R73" s="126">
        <f t="shared" si="11"/>
        <v>60525</v>
      </c>
      <c r="S73" s="126">
        <f t="shared" si="11"/>
        <v>407095</v>
      </c>
      <c r="T73" s="126">
        <f t="shared" si="11"/>
        <v>-286670</v>
      </c>
      <c r="U73" s="126">
        <f t="shared" si="11"/>
        <v>120425</v>
      </c>
      <c r="V73" s="126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-407095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-407095</v>
      </c>
      <c r="AG73" s="43">
        <f t="shared" si="12"/>
        <v>-286670</v>
      </c>
      <c r="AH73" s="43">
        <f t="shared" si="12"/>
        <v>-693765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49550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</f>
        <v>319075</v>
      </c>
      <c r="S74" s="211"/>
      <c r="T74" s="212">
        <f>R74+R75</f>
        <v>758420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35150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</f>
        <v>439345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60525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</f>
        <v>520695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</f>
        <v>81650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90650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37050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47650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430045</v>
      </c>
      <c r="S80" s="197"/>
      <c r="T80" s="22"/>
      <c r="U80" s="22"/>
      <c r="V80" s="2"/>
      <c r="X80" s="63">
        <f>SUM(X77:X79)</f>
        <v>84700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23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15000</v>
      </c>
      <c r="R118" s="63">
        <f t="shared" si="14"/>
        <v>91100</v>
      </c>
      <c r="S118" s="63"/>
      <c r="T118" s="63">
        <f>SUM(T87:T117)</f>
        <v>520695</v>
      </c>
      <c r="U118" s="63"/>
      <c r="V118" s="63">
        <f>SUM(V87:V117)</f>
        <v>319075</v>
      </c>
      <c r="W118" s="63">
        <f>SUM(W87:W117)</f>
        <v>439345</v>
      </c>
      <c r="X118" s="36">
        <f>SUM(V118:W118)</f>
        <v>758420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G73" sqref="G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162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157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13400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250+1000+1000</f>
        <v>2250</v>
      </c>
      <c r="S7" s="6">
        <f>C7+D7-R7</f>
        <v>11150</v>
      </c>
      <c r="T7" s="34">
        <v>-9150</v>
      </c>
      <c r="U7" s="6">
        <f>S7+T7</f>
        <v>2000</v>
      </c>
      <c r="V7" s="52"/>
      <c r="W7" s="57"/>
      <c r="X7" s="46"/>
      <c r="Y7" s="65"/>
      <c r="Z7" s="66">
        <f>W7-S7</f>
        <v>-11150</v>
      </c>
      <c r="AA7" s="65"/>
      <c r="AB7" s="67"/>
      <c r="AC7" s="65"/>
      <c r="AD7" s="47"/>
      <c r="AE7" s="61"/>
      <c r="AF7" s="52">
        <f>SUM(Y7:AE7)</f>
        <v>-11150</v>
      </c>
      <c r="AG7" s="46">
        <f>U7+AF7</f>
        <v>-9150</v>
      </c>
      <c r="AH7" s="51">
        <f>AG7-S7</f>
        <v>-20300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30650</v>
      </c>
      <c r="D8" s="6">
        <f>4500+1250</f>
        <v>5750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250+2000+5000</f>
        <v>7250</v>
      </c>
      <c r="S8" s="6">
        <f t="shared" ref="S8:S71" si="1">C8+D8-R8</f>
        <v>29150</v>
      </c>
      <c r="T8" s="6">
        <v>-24350</v>
      </c>
      <c r="U8" s="6">
        <f t="shared" ref="U8:U71" si="2">S8+T8</f>
        <v>4800</v>
      </c>
      <c r="V8" s="52"/>
      <c r="W8" s="57"/>
      <c r="X8" s="46"/>
      <c r="Y8" s="61"/>
      <c r="Z8" s="66">
        <f t="shared" ref="Z8:Z71" si="3">W8-S8</f>
        <v>-29150</v>
      </c>
      <c r="AA8" s="61"/>
      <c r="AB8" s="67"/>
      <c r="AC8" s="61"/>
      <c r="AD8" s="66"/>
      <c r="AE8" s="61"/>
      <c r="AF8" s="52">
        <f t="shared" ref="AF8:AF71" si="4">SUM(Y8:AE8)</f>
        <v>-29150</v>
      </c>
      <c r="AG8" s="46">
        <f t="shared" ref="AG8:AG71" si="5">U8+AF8</f>
        <v>-24350</v>
      </c>
      <c r="AH8" s="51">
        <f t="shared" ref="AH8:AH71" si="6">AG8-S8</f>
        <v>-53500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5750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1000</v>
      </c>
      <c r="S11" s="6">
        <f t="shared" si="1"/>
        <v>4750</v>
      </c>
      <c r="T11" s="6">
        <v>-3750</v>
      </c>
      <c r="U11" s="6">
        <f t="shared" si="2"/>
        <v>1000</v>
      </c>
      <c r="V11" s="52"/>
      <c r="W11" s="57"/>
      <c r="X11" s="46"/>
      <c r="Y11" s="61"/>
      <c r="Z11" s="66">
        <f t="shared" si="3"/>
        <v>-4750</v>
      </c>
      <c r="AA11" s="61"/>
      <c r="AB11" s="67"/>
      <c r="AC11" s="61"/>
      <c r="AD11" s="66"/>
      <c r="AE11" s="61"/>
      <c r="AF11" s="52">
        <f t="shared" si="4"/>
        <v>-4750</v>
      </c>
      <c r="AG11" s="46">
        <f t="shared" si="5"/>
        <v>-3750</v>
      </c>
      <c r="AH11" s="51">
        <f t="shared" si="6"/>
        <v>-8500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1050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1000</v>
      </c>
      <c r="S12" s="6">
        <f t="shared" si="1"/>
        <v>50</v>
      </c>
      <c r="T12" s="6">
        <v>4700</v>
      </c>
      <c r="U12" s="6">
        <f t="shared" si="2"/>
        <v>4750</v>
      </c>
      <c r="V12" s="52"/>
      <c r="W12" s="57"/>
      <c r="X12" s="46"/>
      <c r="Y12" s="61"/>
      <c r="Z12" s="66">
        <f t="shared" si="3"/>
        <v>-50</v>
      </c>
      <c r="AA12" s="61"/>
      <c r="AB12" s="67"/>
      <c r="AC12" s="61"/>
      <c r="AD12" s="66"/>
      <c r="AE12" s="61"/>
      <c r="AF12" s="52">
        <f t="shared" si="4"/>
        <v>-50</v>
      </c>
      <c r="AG12" s="46">
        <f t="shared" si="5"/>
        <v>4700</v>
      </c>
      <c r="AH12" s="51">
        <f t="shared" si="6"/>
        <v>4650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11310</v>
      </c>
      <c r="D14" s="6">
        <f>9800+4900+10000</f>
        <v>24700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1500+6000+4700+500+3000</f>
        <v>15700</v>
      </c>
      <c r="S14" s="6">
        <f t="shared" si="1"/>
        <v>20310</v>
      </c>
      <c r="T14" s="6">
        <v>-5760</v>
      </c>
      <c r="U14" s="6">
        <f t="shared" si="2"/>
        <v>14550</v>
      </c>
      <c r="V14" s="52"/>
      <c r="W14" s="57"/>
      <c r="X14" s="46"/>
      <c r="Y14" s="61"/>
      <c r="Z14" s="66">
        <f t="shared" si="3"/>
        <v>-20310</v>
      </c>
      <c r="AA14" s="61"/>
      <c r="AB14" s="66"/>
      <c r="AC14" s="61"/>
      <c r="AD14" s="66"/>
      <c r="AE14" s="61"/>
      <c r="AF14" s="52">
        <f t="shared" si="4"/>
        <v>-20310</v>
      </c>
      <c r="AG14" s="46">
        <f t="shared" si="5"/>
        <v>-5760</v>
      </c>
      <c r="AH14" s="51">
        <f t="shared" si="6"/>
        <v>-26070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12400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12400</v>
      </c>
      <c r="T16" s="34">
        <v>-10050</v>
      </c>
      <c r="U16" s="6">
        <f t="shared" si="2"/>
        <v>2350</v>
      </c>
      <c r="V16" s="52"/>
      <c r="W16" s="57"/>
      <c r="X16" s="46"/>
      <c r="Y16" s="61"/>
      <c r="Z16" s="66">
        <f t="shared" si="3"/>
        <v>-12400</v>
      </c>
      <c r="AA16" s="61"/>
      <c r="AB16" s="67"/>
      <c r="AC16" s="61"/>
      <c r="AD16" s="47"/>
      <c r="AE16" s="61"/>
      <c r="AF16" s="52">
        <f t="shared" si="4"/>
        <v>-12400</v>
      </c>
      <c r="AG16" s="46">
        <f t="shared" si="5"/>
        <v>-10050</v>
      </c>
      <c r="AH16" s="51">
        <f t="shared" si="6"/>
        <v>-22450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6400</v>
      </c>
      <c r="D17" s="6"/>
      <c r="E17" s="6"/>
      <c r="F17" s="6"/>
      <c r="G17" s="6">
        <v>7100</v>
      </c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7100</v>
      </c>
      <c r="R17" s="6"/>
      <c r="S17" s="6">
        <f t="shared" si="1"/>
        <v>6400</v>
      </c>
      <c r="T17" s="6">
        <v>-5000</v>
      </c>
      <c r="U17" s="6">
        <f t="shared" si="2"/>
        <v>1400</v>
      </c>
      <c r="V17" s="52"/>
      <c r="W17" s="57"/>
      <c r="X17" s="46"/>
      <c r="Y17" s="61"/>
      <c r="Z17" s="66">
        <f t="shared" si="3"/>
        <v>-6400</v>
      </c>
      <c r="AA17" s="61"/>
      <c r="AB17" s="66"/>
      <c r="AC17" s="61"/>
      <c r="AD17" s="66"/>
      <c r="AE17" s="61"/>
      <c r="AF17" s="52">
        <f t="shared" si="4"/>
        <v>-6400</v>
      </c>
      <c r="AG17" s="46">
        <f t="shared" si="5"/>
        <v>-5000</v>
      </c>
      <c r="AH17" s="51">
        <f t="shared" si="6"/>
        <v>-11400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3265</v>
      </c>
      <c r="T20" s="6">
        <v>-1605</v>
      </c>
      <c r="U20" s="6">
        <f t="shared" si="2"/>
        <v>1660</v>
      </c>
      <c r="V20" s="52"/>
      <c r="W20" s="57"/>
      <c r="X20" s="46"/>
      <c r="Y20" s="61"/>
      <c r="Z20" s="66">
        <f t="shared" si="3"/>
        <v>-3265</v>
      </c>
      <c r="AA20" s="61"/>
      <c r="AB20" s="67"/>
      <c r="AC20" s="61"/>
      <c r="AD20" s="66"/>
      <c r="AE20" s="61"/>
      <c r="AF20" s="52">
        <f t="shared" si="4"/>
        <v>-3265</v>
      </c>
      <c r="AG20" s="46">
        <f t="shared" si="5"/>
        <v>-1605</v>
      </c>
      <c r="AH20" s="51">
        <f t="shared" si="6"/>
        <v>-4870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7">
        <f t="shared" si="0"/>
        <v>0</v>
      </c>
      <c r="R22" s="126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7">
        <f t="shared" si="0"/>
        <v>0</v>
      </c>
      <c r="R24" s="126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7">
        <f t="shared" si="0"/>
        <v>0</v>
      </c>
      <c r="R25" s="126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7">
        <f t="shared" si="0"/>
        <v>0</v>
      </c>
      <c r="R26" s="126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7760</v>
      </c>
      <c r="D27" s="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7">
        <f t="shared" si="0"/>
        <v>0</v>
      </c>
      <c r="R27" s="126"/>
      <c r="S27" s="6">
        <f t="shared" si="1"/>
        <v>7760</v>
      </c>
      <c r="T27" s="6">
        <v>-40</v>
      </c>
      <c r="U27" s="6">
        <f t="shared" si="2"/>
        <v>7720</v>
      </c>
      <c r="V27" s="52"/>
      <c r="W27" s="57"/>
      <c r="X27" s="46"/>
      <c r="Y27" s="61"/>
      <c r="Z27" s="66">
        <f t="shared" si="3"/>
        <v>-7760</v>
      </c>
      <c r="AA27" s="61"/>
      <c r="AB27" s="67"/>
      <c r="AC27" s="61"/>
      <c r="AD27" s="66"/>
      <c r="AE27" s="61"/>
      <c r="AF27" s="52">
        <f t="shared" si="4"/>
        <v>-7760</v>
      </c>
      <c r="AG27" s="46">
        <f t="shared" si="5"/>
        <v>-40</v>
      </c>
      <c r="AH27" s="51">
        <f t="shared" si="6"/>
        <v>-7800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1320</v>
      </c>
      <c r="D28" s="6">
        <v>4880</v>
      </c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7">
        <f t="shared" si="0"/>
        <v>0</v>
      </c>
      <c r="R28" s="126"/>
      <c r="S28" s="6">
        <f t="shared" si="1"/>
        <v>6200</v>
      </c>
      <c r="T28" s="6">
        <f>-40-100</f>
        <v>-140</v>
      </c>
      <c r="U28" s="6">
        <f t="shared" si="2"/>
        <v>6060</v>
      </c>
      <c r="V28" s="52"/>
      <c r="W28" s="57"/>
      <c r="X28" s="46"/>
      <c r="Y28" s="61"/>
      <c r="Z28" s="66">
        <f t="shared" si="3"/>
        <v>-6200</v>
      </c>
      <c r="AA28" s="61"/>
      <c r="AB28" s="67"/>
      <c r="AC28" s="61"/>
      <c r="AD28" s="66"/>
      <c r="AE28" s="61"/>
      <c r="AF28" s="52">
        <f t="shared" si="4"/>
        <v>-6200</v>
      </c>
      <c r="AG28" s="46">
        <f t="shared" si="5"/>
        <v>-140</v>
      </c>
      <c r="AH28" s="51">
        <f t="shared" si="6"/>
        <v>-6340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1740</v>
      </c>
      <c r="D29" s="6">
        <v>5060</v>
      </c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7">
        <f t="shared" si="0"/>
        <v>0</v>
      </c>
      <c r="R29" s="126">
        <v>2000</v>
      </c>
      <c r="S29" s="6">
        <f t="shared" si="1"/>
        <v>4800</v>
      </c>
      <c r="T29" s="6">
        <f>860+100</f>
        <v>960</v>
      </c>
      <c r="U29" s="6">
        <f t="shared" si="2"/>
        <v>5760</v>
      </c>
      <c r="V29" s="52"/>
      <c r="W29" s="57"/>
      <c r="X29" s="46"/>
      <c r="Y29" s="61"/>
      <c r="Z29" s="66">
        <f t="shared" si="3"/>
        <v>-4800</v>
      </c>
      <c r="AA29" s="61"/>
      <c r="AB29" s="67"/>
      <c r="AC29" s="61"/>
      <c r="AD29" s="66"/>
      <c r="AE29" s="61"/>
      <c r="AF29" s="52">
        <f t="shared" si="4"/>
        <v>-4800</v>
      </c>
      <c r="AG29" s="46">
        <f t="shared" si="5"/>
        <v>960</v>
      </c>
      <c r="AH29" s="51">
        <f t="shared" si="6"/>
        <v>-3840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7">
        <f t="shared" si="0"/>
        <v>0</v>
      </c>
      <c r="R30" s="126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17380</v>
      </c>
      <c r="D31" s="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7">
        <f t="shared" si="0"/>
        <v>0</v>
      </c>
      <c r="R31" s="126"/>
      <c r="S31" s="6">
        <f t="shared" si="1"/>
        <v>17380</v>
      </c>
      <c r="T31" s="6">
        <v>-17180</v>
      </c>
      <c r="U31" s="6">
        <f t="shared" si="2"/>
        <v>200</v>
      </c>
      <c r="V31" s="52"/>
      <c r="W31" s="57"/>
      <c r="X31" s="46"/>
      <c r="Y31" s="61"/>
      <c r="Z31" s="66">
        <f t="shared" si="3"/>
        <v>-17380</v>
      </c>
      <c r="AA31" s="61"/>
      <c r="AB31" s="64"/>
      <c r="AC31" s="61"/>
      <c r="AD31" s="66"/>
      <c r="AE31" s="61"/>
      <c r="AF31" s="52">
        <f t="shared" si="4"/>
        <v>-17380</v>
      </c>
      <c r="AG31" s="46">
        <f t="shared" si="5"/>
        <v>-17180</v>
      </c>
      <c r="AH31" s="51">
        <f t="shared" si="6"/>
        <v>-34560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f>33440-3000</f>
        <v>30440</v>
      </c>
      <c r="D32" s="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6"/>
      <c r="P32" s="6"/>
      <c r="Q32" s="7">
        <f>SUM(E32:P32)</f>
        <v>0</v>
      </c>
      <c r="R32" s="126"/>
      <c r="S32" s="6">
        <f t="shared" si="1"/>
        <v>30440</v>
      </c>
      <c r="T32" s="6">
        <v>-18280</v>
      </c>
      <c r="U32" s="6">
        <f t="shared" si="2"/>
        <v>12160</v>
      </c>
      <c r="V32" s="52"/>
      <c r="W32" s="57"/>
      <c r="X32" s="46"/>
      <c r="Y32" s="61"/>
      <c r="Z32" s="66">
        <f t="shared" si="3"/>
        <v>-30440</v>
      </c>
      <c r="AA32" s="61"/>
      <c r="AB32" s="67"/>
      <c r="AC32" s="61"/>
      <c r="AD32" s="66"/>
      <c r="AE32" s="61"/>
      <c r="AF32" s="52">
        <f t="shared" si="4"/>
        <v>-30440</v>
      </c>
      <c r="AG32" s="46">
        <f t="shared" si="5"/>
        <v>-18280</v>
      </c>
      <c r="AH32" s="51">
        <f t="shared" si="6"/>
        <v>-48720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7">
        <f t="shared" si="0"/>
        <v>0</v>
      </c>
      <c r="R33" s="126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26"/>
      <c r="F34" s="126"/>
      <c r="G34" s="126"/>
      <c r="H34" s="126"/>
      <c r="I34" s="126"/>
      <c r="J34" s="126"/>
      <c r="K34" s="6"/>
      <c r="L34" s="126"/>
      <c r="M34" s="126"/>
      <c r="N34" s="126"/>
      <c r="O34" s="126"/>
      <c r="P34" s="126"/>
      <c r="Q34" s="7">
        <f t="shared" si="0"/>
        <v>0</v>
      </c>
      <c r="R34" s="126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26"/>
      <c r="F35" s="126"/>
      <c r="G35" s="126"/>
      <c r="H35" s="126"/>
      <c r="I35" s="126"/>
      <c r="J35" s="126"/>
      <c r="K35" s="6"/>
      <c r="L35" s="126"/>
      <c r="M35" s="126"/>
      <c r="N35" s="126"/>
      <c r="O35" s="126"/>
      <c r="P35" s="126"/>
      <c r="Q35" s="7">
        <f t="shared" si="0"/>
        <v>0</v>
      </c>
      <c r="R35" s="126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7">
        <f t="shared" si="0"/>
        <v>0</v>
      </c>
      <c r="R36" s="126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7">
        <f t="shared" si="0"/>
        <v>0</v>
      </c>
      <c r="R37" s="126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1420</v>
      </c>
      <c r="D38" s="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7">
        <f>SUM(E38:P38)</f>
        <v>0</v>
      </c>
      <c r="R38" s="126"/>
      <c r="S38" s="6">
        <f t="shared" si="1"/>
        <v>1420</v>
      </c>
      <c r="T38" s="6">
        <v>-1340</v>
      </c>
      <c r="U38" s="6">
        <f t="shared" si="2"/>
        <v>80</v>
      </c>
      <c r="V38" s="52"/>
      <c r="W38" s="57"/>
      <c r="X38" s="46"/>
      <c r="Y38" s="61"/>
      <c r="Z38" s="66">
        <f t="shared" si="3"/>
        <v>-1420</v>
      </c>
      <c r="AA38" s="61"/>
      <c r="AB38" s="64"/>
      <c r="AC38" s="61"/>
      <c r="AD38" s="66"/>
      <c r="AE38" s="61"/>
      <c r="AF38" s="52">
        <f t="shared" si="4"/>
        <v>-1420</v>
      </c>
      <c r="AG38" s="46">
        <f t="shared" si="5"/>
        <v>-1340</v>
      </c>
      <c r="AH38" s="51">
        <f t="shared" si="6"/>
        <v>-2760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7">
        <f>SUM(E39:P39)</f>
        <v>0</v>
      </c>
      <c r="R39" s="126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10820</v>
      </c>
      <c r="D40" s="6"/>
      <c r="E40" s="126"/>
      <c r="F40" s="126"/>
      <c r="G40" s="126"/>
      <c r="H40" s="27"/>
      <c r="I40" s="126"/>
      <c r="J40" s="126"/>
      <c r="K40" s="126"/>
      <c r="L40" s="126"/>
      <c r="M40" s="126"/>
      <c r="N40" s="126"/>
      <c r="O40" s="126"/>
      <c r="P40" s="126"/>
      <c r="Q40" s="7">
        <f>SUM(E40:P40)</f>
        <v>0</v>
      </c>
      <c r="R40" s="126"/>
      <c r="S40" s="6">
        <f t="shared" si="1"/>
        <v>10820</v>
      </c>
      <c r="T40" s="6">
        <f>-10260+40</f>
        <v>-10220</v>
      </c>
      <c r="U40" s="6">
        <f t="shared" si="2"/>
        <v>600</v>
      </c>
      <c r="V40" s="52"/>
      <c r="W40" s="57"/>
      <c r="X40" s="46"/>
      <c r="Y40" s="61"/>
      <c r="Z40" s="66">
        <f t="shared" si="3"/>
        <v>-10820</v>
      </c>
      <c r="AA40" s="61"/>
      <c r="AB40" s="67"/>
      <c r="AC40" s="61"/>
      <c r="AD40" s="66"/>
      <c r="AE40" s="61"/>
      <c r="AF40" s="52">
        <f t="shared" si="4"/>
        <v>-10820</v>
      </c>
      <c r="AG40" s="46">
        <f t="shared" si="5"/>
        <v>-10220</v>
      </c>
      <c r="AH40" s="51">
        <f t="shared" si="6"/>
        <v>-21040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f>-2660+3000</f>
        <v>340</v>
      </c>
      <c r="D41" s="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7">
        <f>SUM(E41:P41)</f>
        <v>0</v>
      </c>
      <c r="R41" s="126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7">
        <f>SUM(E42:P42)</f>
        <v>0</v>
      </c>
      <c r="R42" s="126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7">
        <f t="shared" si="0"/>
        <v>0</v>
      </c>
      <c r="R44" s="126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7">
        <f t="shared" si="0"/>
        <v>0</v>
      </c>
      <c r="R45" s="126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7">
        <f t="shared" si="0"/>
        <v>0</v>
      </c>
      <c r="R46" s="126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7">
        <f t="shared" si="0"/>
        <v>0</v>
      </c>
      <c r="R47" s="126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7">
        <f t="shared" si="0"/>
        <v>0</v>
      </c>
      <c r="R48" s="126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7">
        <f t="shared" si="0"/>
        <v>0</v>
      </c>
      <c r="R49" s="126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8450</v>
      </c>
      <c r="D50" s="6">
        <v>10850</v>
      </c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7">
        <f t="shared" si="0"/>
        <v>0</v>
      </c>
      <c r="R50" s="126">
        <v>7000</v>
      </c>
      <c r="S50" s="6">
        <f t="shared" si="1"/>
        <v>12300</v>
      </c>
      <c r="T50" s="6">
        <f>-12000+8615</f>
        <v>-3385</v>
      </c>
      <c r="U50" s="6">
        <f t="shared" si="2"/>
        <v>8915</v>
      </c>
      <c r="V50" s="52"/>
      <c r="W50" s="57"/>
      <c r="X50" s="46"/>
      <c r="Y50" s="61"/>
      <c r="Z50" s="66">
        <f t="shared" si="3"/>
        <v>-12300</v>
      </c>
      <c r="AA50" s="61"/>
      <c r="AB50" s="64"/>
      <c r="AC50" s="61"/>
      <c r="AD50" s="66"/>
      <c r="AE50" s="61"/>
      <c r="AF50" s="52">
        <f t="shared" si="4"/>
        <v>-12300</v>
      </c>
      <c r="AG50" s="46">
        <f t="shared" si="5"/>
        <v>-3385</v>
      </c>
      <c r="AH50" s="51">
        <f t="shared" si="6"/>
        <v>-15685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7">
        <f t="shared" si="0"/>
        <v>0</v>
      </c>
      <c r="R51" s="126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7">
        <f t="shared" si="0"/>
        <v>0</v>
      </c>
      <c r="R52" s="126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7">
        <f t="shared" si="0"/>
        <v>0</v>
      </c>
      <c r="R53" s="126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7">
        <f t="shared" si="0"/>
        <v>0</v>
      </c>
      <c r="R54" s="126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7">
        <f t="shared" si="0"/>
        <v>0</v>
      </c>
      <c r="R55" s="126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7">
        <f>SUM(E56:P56)</f>
        <v>0</v>
      </c>
      <c r="R56" s="126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7">
        <f t="shared" si="0"/>
        <v>0</v>
      </c>
      <c r="R61" s="126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7">
        <f t="shared" si="0"/>
        <v>0</v>
      </c>
      <c r="R62" s="125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7">
        <f t="shared" si="0"/>
        <v>0</v>
      </c>
      <c r="R63" s="125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7">
        <f t="shared" si="0"/>
        <v>0</v>
      </c>
      <c r="R64" s="125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7">
        <f t="shared" si="0"/>
        <v>0</v>
      </c>
      <c r="R65" s="125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24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1950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7">
        <f t="shared" si="0"/>
        <v>0</v>
      </c>
      <c r="R67" s="126">
        <v>25</v>
      </c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7">
        <f t="shared" si="0"/>
        <v>0</v>
      </c>
      <c r="R68" s="126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27150</v>
      </c>
      <c r="D69" s="126">
        <v>2000</v>
      </c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7">
        <f t="shared" si="0"/>
        <v>0</v>
      </c>
      <c r="R69" s="126">
        <f>125+1500</f>
        <v>1625</v>
      </c>
      <c r="S69" s="6">
        <f t="shared" si="1"/>
        <v>27525</v>
      </c>
      <c r="T69" s="6">
        <v>-16950</v>
      </c>
      <c r="U69" s="6">
        <f t="shared" si="2"/>
        <v>10575</v>
      </c>
      <c r="V69" s="52"/>
      <c r="W69" s="57"/>
      <c r="X69" s="46"/>
      <c r="Y69" s="61"/>
      <c r="Z69" s="66">
        <f t="shared" si="3"/>
        <v>-27525</v>
      </c>
      <c r="AA69" s="61"/>
      <c r="AB69" s="64"/>
      <c r="AC69" s="61"/>
      <c r="AD69" s="66"/>
      <c r="AE69" s="61"/>
      <c r="AF69" s="52">
        <f t="shared" si="4"/>
        <v>-27525</v>
      </c>
      <c r="AG69" s="46">
        <f t="shared" si="5"/>
        <v>-16950</v>
      </c>
      <c r="AH69" s="51">
        <f t="shared" si="6"/>
        <v>-44475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12200</v>
      </c>
      <c r="D70" s="126">
        <v>5875</v>
      </c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7">
        <f t="shared" si="0"/>
        <v>0</v>
      </c>
      <c r="R70" s="126">
        <v>2900</v>
      </c>
      <c r="S70" s="6">
        <f t="shared" si="1"/>
        <v>15175</v>
      </c>
      <c r="T70" s="6">
        <v>-9425</v>
      </c>
      <c r="U70" s="6">
        <f t="shared" si="2"/>
        <v>5750</v>
      </c>
      <c r="V70" s="52"/>
      <c r="W70" s="57"/>
      <c r="X70" s="46"/>
      <c r="Y70" s="61"/>
      <c r="Z70" s="66">
        <f t="shared" si="3"/>
        <v>-15175</v>
      </c>
      <c r="AA70" s="61"/>
      <c r="AB70" s="67"/>
      <c r="AC70" s="61"/>
      <c r="AD70" s="66"/>
      <c r="AE70" s="61"/>
      <c r="AF70" s="52">
        <f t="shared" si="4"/>
        <v>-15175</v>
      </c>
      <c r="AG70" s="46">
        <f t="shared" si="5"/>
        <v>-9425</v>
      </c>
      <c r="AH70" s="51">
        <f t="shared" si="6"/>
        <v>-24600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45125</v>
      </c>
      <c r="D71" s="126">
        <v>8000</v>
      </c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7">
        <f t="shared" si="0"/>
        <v>0</v>
      </c>
      <c r="R71" s="126">
        <f>375+4600</f>
        <v>4975</v>
      </c>
      <c r="S71" s="6">
        <f t="shared" si="1"/>
        <v>48150</v>
      </c>
      <c r="T71" s="6">
        <v>-27500</v>
      </c>
      <c r="U71" s="6">
        <f t="shared" si="2"/>
        <v>20650</v>
      </c>
      <c r="V71" s="52"/>
      <c r="W71" s="57"/>
      <c r="X71" s="46"/>
      <c r="Y71" s="61"/>
      <c r="Z71" s="66">
        <f t="shared" si="3"/>
        <v>-48150</v>
      </c>
      <c r="AA71" s="61"/>
      <c r="AB71" s="64"/>
      <c r="AC71" s="61"/>
      <c r="AD71" s="66"/>
      <c r="AE71" s="61"/>
      <c r="AF71" s="52">
        <f t="shared" si="4"/>
        <v>-48150</v>
      </c>
      <c r="AG71" s="46">
        <f t="shared" si="5"/>
        <v>-27500</v>
      </c>
      <c r="AH71" s="51">
        <f t="shared" si="6"/>
        <v>-75650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26">
        <f>SUM(C7:C72)</f>
        <v>407095</v>
      </c>
      <c r="D73" s="126">
        <f t="shared" ref="D73:V73" si="11">SUM(D7:D72)</f>
        <v>67115</v>
      </c>
      <c r="E73" s="126">
        <f t="shared" si="11"/>
        <v>0</v>
      </c>
      <c r="F73" s="126">
        <f t="shared" si="11"/>
        <v>0</v>
      </c>
      <c r="G73" s="126">
        <f t="shared" si="11"/>
        <v>7100</v>
      </c>
      <c r="H73" s="27">
        <f t="shared" si="11"/>
        <v>0</v>
      </c>
      <c r="I73" s="126">
        <f t="shared" si="11"/>
        <v>0</v>
      </c>
      <c r="J73" s="126">
        <f t="shared" si="11"/>
        <v>0</v>
      </c>
      <c r="K73" s="126">
        <f t="shared" si="11"/>
        <v>0</v>
      </c>
      <c r="L73" s="126">
        <f t="shared" si="11"/>
        <v>0</v>
      </c>
      <c r="M73" s="126">
        <f t="shared" si="11"/>
        <v>0</v>
      </c>
      <c r="N73" s="126">
        <f t="shared" si="11"/>
        <v>0</v>
      </c>
      <c r="O73" s="126">
        <f t="shared" si="11"/>
        <v>0</v>
      </c>
      <c r="P73" s="126">
        <f t="shared" si="11"/>
        <v>0</v>
      </c>
      <c r="Q73" s="126">
        <f t="shared" si="11"/>
        <v>7100</v>
      </c>
      <c r="R73" s="126">
        <f t="shared" si="11"/>
        <v>45725</v>
      </c>
      <c r="S73" s="126">
        <f t="shared" si="11"/>
        <v>428485</v>
      </c>
      <c r="T73" s="126">
        <f t="shared" si="11"/>
        <v>-286670</v>
      </c>
      <c r="U73" s="126">
        <f t="shared" si="11"/>
        <v>141815</v>
      </c>
      <c r="V73" s="126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-428485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-428485</v>
      </c>
      <c r="AG73" s="43">
        <f t="shared" si="12"/>
        <v>-286670</v>
      </c>
      <c r="AH73" s="43">
        <f t="shared" si="12"/>
        <v>-715155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7100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</f>
        <v>326175</v>
      </c>
      <c r="S74" s="211"/>
      <c r="T74" s="212">
        <f>R74+R75</f>
        <v>832635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67115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</f>
        <v>506460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45725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</f>
        <v>566420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</f>
        <v>93350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102350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23250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50965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464070</v>
      </c>
      <c r="S80" s="197"/>
      <c r="T80" s="22"/>
      <c r="U80" s="22"/>
      <c r="V80" s="2"/>
      <c r="X80" s="63">
        <f>SUM(X77:X79)</f>
        <v>74215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23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15000</v>
      </c>
      <c r="R118" s="63">
        <f t="shared" si="14"/>
        <v>102800</v>
      </c>
      <c r="S118" s="63"/>
      <c r="T118" s="63">
        <f>SUM(T87:T117)</f>
        <v>566420</v>
      </c>
      <c r="U118" s="63"/>
      <c r="V118" s="63">
        <f>SUM(V87:V117)</f>
        <v>326175</v>
      </c>
      <c r="W118" s="63">
        <f>SUM(W87:W117)</f>
        <v>506460</v>
      </c>
      <c r="X118" s="36">
        <f>SUM(V118:W118)</f>
        <v>832635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O73" sqref="O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163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164</v>
      </c>
      <c r="P6" s="30" t="s">
        <v>157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11150</v>
      </c>
      <c r="D7" s="6">
        <v>5200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16350</v>
      </c>
      <c r="T7" s="34">
        <v>-9150</v>
      </c>
      <c r="U7" s="6">
        <f>S7+T7</f>
        <v>7200</v>
      </c>
      <c r="V7" s="52"/>
      <c r="W7" s="57"/>
      <c r="X7" s="46"/>
      <c r="Y7" s="65"/>
      <c r="Z7" s="66">
        <f>W7-S7</f>
        <v>-16350</v>
      </c>
      <c r="AA7" s="65"/>
      <c r="AB7" s="67"/>
      <c r="AC7" s="65"/>
      <c r="AD7" s="47"/>
      <c r="AE7" s="61"/>
      <c r="AF7" s="52">
        <f>SUM(Y7:AE7)</f>
        <v>-16350</v>
      </c>
      <c r="AG7" s="46">
        <f>U7+AF7</f>
        <v>-9150</v>
      </c>
      <c r="AH7" s="51">
        <f>AG7-S7</f>
        <v>-25500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29150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/>
      <c r="S8" s="6">
        <f t="shared" ref="S8:S71" si="1">C8+D8-R8</f>
        <v>29150</v>
      </c>
      <c r="T8" s="6">
        <v>-24350</v>
      </c>
      <c r="U8" s="6">
        <f t="shared" ref="U8:U71" si="2">S8+T8</f>
        <v>4800</v>
      </c>
      <c r="V8" s="52"/>
      <c r="W8" s="57"/>
      <c r="X8" s="46"/>
      <c r="Y8" s="61"/>
      <c r="Z8" s="66">
        <f t="shared" ref="Z8:Z71" si="3">W8-S8</f>
        <v>-29150</v>
      </c>
      <c r="AA8" s="61"/>
      <c r="AB8" s="67"/>
      <c r="AC8" s="61"/>
      <c r="AD8" s="66"/>
      <c r="AE8" s="61"/>
      <c r="AF8" s="52">
        <f t="shared" ref="AF8:AF71" si="4">SUM(Y8:AE8)</f>
        <v>-29150</v>
      </c>
      <c r="AG8" s="46">
        <f t="shared" ref="AG8:AG71" si="5">U8+AF8</f>
        <v>-24350</v>
      </c>
      <c r="AH8" s="51">
        <f t="shared" ref="AH8:AH71" si="6">AG8-S8</f>
        <v>-53500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4750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4750</v>
      </c>
      <c r="T11" s="6">
        <v>-3750</v>
      </c>
      <c r="U11" s="6">
        <f t="shared" si="2"/>
        <v>1000</v>
      </c>
      <c r="V11" s="52"/>
      <c r="W11" s="57"/>
      <c r="X11" s="46"/>
      <c r="Y11" s="61"/>
      <c r="Z11" s="66">
        <f t="shared" si="3"/>
        <v>-4750</v>
      </c>
      <c r="AA11" s="61"/>
      <c r="AB11" s="67"/>
      <c r="AC11" s="61"/>
      <c r="AD11" s="66"/>
      <c r="AE11" s="61"/>
      <c r="AF11" s="52">
        <f t="shared" si="4"/>
        <v>-4750</v>
      </c>
      <c r="AG11" s="46">
        <f t="shared" si="5"/>
        <v>-3750</v>
      </c>
      <c r="AH11" s="51">
        <f t="shared" si="6"/>
        <v>-8500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600</v>
      </c>
      <c r="S12" s="6">
        <f t="shared" si="1"/>
        <v>-550</v>
      </c>
      <c r="T12" s="6">
        <v>4700</v>
      </c>
      <c r="U12" s="6">
        <f t="shared" si="2"/>
        <v>4150</v>
      </c>
      <c r="V12" s="52"/>
      <c r="W12" s="57"/>
      <c r="X12" s="46"/>
      <c r="Y12" s="61"/>
      <c r="Z12" s="66">
        <f t="shared" si="3"/>
        <v>550</v>
      </c>
      <c r="AA12" s="61"/>
      <c r="AB12" s="67"/>
      <c r="AC12" s="61"/>
      <c r="AD12" s="66"/>
      <c r="AE12" s="61"/>
      <c r="AF12" s="52">
        <f t="shared" si="4"/>
        <v>550</v>
      </c>
      <c r="AG12" s="46">
        <f t="shared" si="5"/>
        <v>4700</v>
      </c>
      <c r="AH12" s="51">
        <f t="shared" si="6"/>
        <v>5250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20310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2250+6000</f>
        <v>8250</v>
      </c>
      <c r="S14" s="6">
        <f t="shared" si="1"/>
        <v>12060</v>
      </c>
      <c r="T14" s="6">
        <v>-5760</v>
      </c>
      <c r="U14" s="6">
        <f t="shared" si="2"/>
        <v>6300</v>
      </c>
      <c r="V14" s="52"/>
      <c r="W14" s="57"/>
      <c r="X14" s="46"/>
      <c r="Y14" s="61"/>
      <c r="Z14" s="66">
        <f t="shared" si="3"/>
        <v>-12060</v>
      </c>
      <c r="AA14" s="61"/>
      <c r="AB14" s="66"/>
      <c r="AC14" s="61"/>
      <c r="AD14" s="66"/>
      <c r="AE14" s="61"/>
      <c r="AF14" s="52">
        <f t="shared" si="4"/>
        <v>-12060</v>
      </c>
      <c r="AG14" s="46">
        <f t="shared" si="5"/>
        <v>-5760</v>
      </c>
      <c r="AH14" s="51">
        <f t="shared" si="6"/>
        <v>-17820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12400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12400</v>
      </c>
      <c r="T16" s="34">
        <v>-10050</v>
      </c>
      <c r="U16" s="6">
        <f t="shared" si="2"/>
        <v>2350</v>
      </c>
      <c r="V16" s="52"/>
      <c r="W16" s="57"/>
      <c r="X16" s="46"/>
      <c r="Y16" s="61"/>
      <c r="Z16" s="66">
        <f t="shared" si="3"/>
        <v>-12400</v>
      </c>
      <c r="AA16" s="61"/>
      <c r="AB16" s="67"/>
      <c r="AC16" s="61"/>
      <c r="AD16" s="47"/>
      <c r="AE16" s="61"/>
      <c r="AF16" s="52">
        <f t="shared" si="4"/>
        <v>-12400</v>
      </c>
      <c r="AG16" s="46">
        <f t="shared" si="5"/>
        <v>-10050</v>
      </c>
      <c r="AH16" s="51">
        <f t="shared" si="6"/>
        <v>-22450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6400</v>
      </c>
      <c r="D17" s="6">
        <v>4900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11300</v>
      </c>
      <c r="T17" s="6">
        <v>-5000</v>
      </c>
      <c r="U17" s="6">
        <f t="shared" si="2"/>
        <v>6300</v>
      </c>
      <c r="V17" s="52"/>
      <c r="W17" s="57"/>
      <c r="X17" s="46"/>
      <c r="Y17" s="61"/>
      <c r="Z17" s="66">
        <f t="shared" si="3"/>
        <v>-11300</v>
      </c>
      <c r="AA17" s="61"/>
      <c r="AB17" s="66"/>
      <c r="AC17" s="61"/>
      <c r="AD17" s="66"/>
      <c r="AE17" s="61"/>
      <c r="AF17" s="52">
        <f t="shared" si="4"/>
        <v>-11300</v>
      </c>
      <c r="AG17" s="46">
        <f t="shared" si="5"/>
        <v>-5000</v>
      </c>
      <c r="AH17" s="51">
        <f t="shared" si="6"/>
        <v>-16300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3265</v>
      </c>
      <c r="D20" s="6"/>
      <c r="E20" s="6"/>
      <c r="F20" s="6"/>
      <c r="G20" s="6"/>
      <c r="H20" s="6"/>
      <c r="I20" s="6"/>
      <c r="J20" s="6"/>
      <c r="K20" s="6">
        <v>1680</v>
      </c>
      <c r="L20" s="6"/>
      <c r="M20" s="6"/>
      <c r="N20" s="6"/>
      <c r="O20" s="6"/>
      <c r="P20" s="6"/>
      <c r="Q20" s="7">
        <f t="shared" si="0"/>
        <v>1680</v>
      </c>
      <c r="R20" s="6">
        <v>20</v>
      </c>
      <c r="S20" s="6">
        <f t="shared" si="1"/>
        <v>3245</v>
      </c>
      <c r="T20" s="6">
        <v>-1605</v>
      </c>
      <c r="U20" s="6">
        <f t="shared" si="2"/>
        <v>1640</v>
      </c>
      <c r="V20" s="52"/>
      <c r="W20" s="57"/>
      <c r="X20" s="46"/>
      <c r="Y20" s="61"/>
      <c r="Z20" s="66">
        <f t="shared" si="3"/>
        <v>-3245</v>
      </c>
      <c r="AA20" s="61"/>
      <c r="AB20" s="67"/>
      <c r="AC20" s="61"/>
      <c r="AD20" s="66"/>
      <c r="AE20" s="61"/>
      <c r="AF20" s="52">
        <f t="shared" si="4"/>
        <v>-3245</v>
      </c>
      <c r="AG20" s="46">
        <f t="shared" si="5"/>
        <v>-1605</v>
      </c>
      <c r="AH20" s="51">
        <f t="shared" si="6"/>
        <v>-4850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7">
        <f t="shared" si="0"/>
        <v>0</v>
      </c>
      <c r="R22" s="128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7">
        <f t="shared" si="0"/>
        <v>0</v>
      </c>
      <c r="R24" s="128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7">
        <f t="shared" si="0"/>
        <v>0</v>
      </c>
      <c r="R25" s="128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7">
        <f t="shared" si="0"/>
        <v>0</v>
      </c>
      <c r="R26" s="128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7760</v>
      </c>
      <c r="D27" s="6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>
        <v>4120</v>
      </c>
      <c r="P27" s="128"/>
      <c r="Q27" s="7">
        <f t="shared" si="0"/>
        <v>4120</v>
      </c>
      <c r="R27" s="128"/>
      <c r="S27" s="6">
        <f t="shared" si="1"/>
        <v>7760</v>
      </c>
      <c r="T27" s="6">
        <v>-40</v>
      </c>
      <c r="U27" s="6">
        <f t="shared" si="2"/>
        <v>7720</v>
      </c>
      <c r="V27" s="52"/>
      <c r="W27" s="57"/>
      <c r="X27" s="46"/>
      <c r="Y27" s="61"/>
      <c r="Z27" s="66">
        <f t="shared" si="3"/>
        <v>-7760</v>
      </c>
      <c r="AA27" s="61"/>
      <c r="AB27" s="67"/>
      <c r="AC27" s="61"/>
      <c r="AD27" s="66"/>
      <c r="AE27" s="61"/>
      <c r="AF27" s="52">
        <f t="shared" si="4"/>
        <v>-7760</v>
      </c>
      <c r="AG27" s="46">
        <f t="shared" si="5"/>
        <v>-40</v>
      </c>
      <c r="AH27" s="51">
        <f t="shared" si="6"/>
        <v>-7800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6200</v>
      </c>
      <c r="D28" s="6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7">
        <f t="shared" si="0"/>
        <v>0</v>
      </c>
      <c r="R28" s="128"/>
      <c r="S28" s="6">
        <f t="shared" si="1"/>
        <v>6200</v>
      </c>
      <c r="T28" s="6">
        <f>-40-100</f>
        <v>-140</v>
      </c>
      <c r="U28" s="6">
        <f t="shared" si="2"/>
        <v>6060</v>
      </c>
      <c r="V28" s="52"/>
      <c r="W28" s="57"/>
      <c r="X28" s="46"/>
      <c r="Y28" s="61"/>
      <c r="Z28" s="66">
        <f t="shared" si="3"/>
        <v>-6200</v>
      </c>
      <c r="AA28" s="61"/>
      <c r="AB28" s="67"/>
      <c r="AC28" s="61"/>
      <c r="AD28" s="66"/>
      <c r="AE28" s="61"/>
      <c r="AF28" s="52">
        <f t="shared" si="4"/>
        <v>-6200</v>
      </c>
      <c r="AG28" s="46">
        <f t="shared" si="5"/>
        <v>-140</v>
      </c>
      <c r="AH28" s="51">
        <f t="shared" si="6"/>
        <v>-6340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4800</v>
      </c>
      <c r="D29" s="6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7">
        <f t="shared" si="0"/>
        <v>0</v>
      </c>
      <c r="R29" s="128"/>
      <c r="S29" s="6">
        <f t="shared" si="1"/>
        <v>4800</v>
      </c>
      <c r="T29" s="6">
        <f>860+100</f>
        <v>960</v>
      </c>
      <c r="U29" s="6">
        <f t="shared" si="2"/>
        <v>5760</v>
      </c>
      <c r="V29" s="52"/>
      <c r="W29" s="57"/>
      <c r="X29" s="46"/>
      <c r="Y29" s="61"/>
      <c r="Z29" s="66">
        <f t="shared" si="3"/>
        <v>-4800</v>
      </c>
      <c r="AA29" s="61"/>
      <c r="AB29" s="67"/>
      <c r="AC29" s="61"/>
      <c r="AD29" s="66"/>
      <c r="AE29" s="61"/>
      <c r="AF29" s="52">
        <f t="shared" si="4"/>
        <v>-4800</v>
      </c>
      <c r="AG29" s="46">
        <f t="shared" si="5"/>
        <v>960</v>
      </c>
      <c r="AH29" s="51">
        <f t="shared" si="6"/>
        <v>-3840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7">
        <f t="shared" si="0"/>
        <v>0</v>
      </c>
      <c r="R30" s="128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17380</v>
      </c>
      <c r="D31" s="6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7">
        <f t="shared" si="0"/>
        <v>0</v>
      </c>
      <c r="R31" s="128">
        <v>100</v>
      </c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f>30440-720</f>
        <v>29720</v>
      </c>
      <c r="D32" s="6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6"/>
      <c r="P32" s="6"/>
      <c r="Q32" s="7">
        <f>SUM(E32:P32)</f>
        <v>0</v>
      </c>
      <c r="R32" s="128"/>
      <c r="S32" s="6">
        <f t="shared" si="1"/>
        <v>29720</v>
      </c>
      <c r="T32" s="6">
        <v>-18280</v>
      </c>
      <c r="U32" s="6">
        <f t="shared" si="2"/>
        <v>11440</v>
      </c>
      <c r="V32" s="52"/>
      <c r="W32" s="57"/>
      <c r="X32" s="46"/>
      <c r="Y32" s="61"/>
      <c r="Z32" s="66">
        <f t="shared" si="3"/>
        <v>-29720</v>
      </c>
      <c r="AA32" s="61"/>
      <c r="AB32" s="67"/>
      <c r="AC32" s="61"/>
      <c r="AD32" s="66"/>
      <c r="AE32" s="61"/>
      <c r="AF32" s="52">
        <f t="shared" si="4"/>
        <v>-29720</v>
      </c>
      <c r="AG32" s="46">
        <f t="shared" si="5"/>
        <v>-18280</v>
      </c>
      <c r="AH32" s="51">
        <f t="shared" si="6"/>
        <v>-48000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7">
        <f t="shared" si="0"/>
        <v>0</v>
      </c>
      <c r="R33" s="128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28"/>
      <c r="F34" s="128"/>
      <c r="G34" s="128"/>
      <c r="H34" s="128"/>
      <c r="I34" s="128"/>
      <c r="J34" s="128"/>
      <c r="K34" s="6"/>
      <c r="L34" s="128"/>
      <c r="M34" s="128"/>
      <c r="N34" s="128"/>
      <c r="O34" s="128"/>
      <c r="P34" s="128"/>
      <c r="Q34" s="7">
        <f t="shared" si="0"/>
        <v>0</v>
      </c>
      <c r="R34" s="128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28"/>
      <c r="F35" s="128"/>
      <c r="G35" s="128"/>
      <c r="H35" s="128"/>
      <c r="I35" s="128"/>
      <c r="J35" s="128"/>
      <c r="K35" s="6"/>
      <c r="L35" s="128"/>
      <c r="M35" s="128"/>
      <c r="N35" s="128"/>
      <c r="O35" s="128"/>
      <c r="P35" s="128"/>
      <c r="Q35" s="7">
        <f t="shared" si="0"/>
        <v>0</v>
      </c>
      <c r="R35" s="128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f>640+400</f>
        <v>1040</v>
      </c>
      <c r="D36" s="6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7">
        <f t="shared" si="0"/>
        <v>0</v>
      </c>
      <c r="R36" s="128">
        <v>500</v>
      </c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7">
        <f t="shared" si="0"/>
        <v>0</v>
      </c>
      <c r="R37" s="128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f>1420+320</f>
        <v>1740</v>
      </c>
      <c r="D38" s="6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7">
        <f>SUM(E38:P38)</f>
        <v>0</v>
      </c>
      <c r="R38" s="128">
        <v>400</v>
      </c>
      <c r="S38" s="6">
        <f t="shared" si="1"/>
        <v>1340</v>
      </c>
      <c r="T38" s="6">
        <v>-1340</v>
      </c>
      <c r="U38" s="6">
        <f t="shared" si="2"/>
        <v>0</v>
      </c>
      <c r="V38" s="52"/>
      <c r="W38" s="57"/>
      <c r="X38" s="46"/>
      <c r="Y38" s="61"/>
      <c r="Z38" s="66">
        <f t="shared" si="3"/>
        <v>-1340</v>
      </c>
      <c r="AA38" s="61"/>
      <c r="AB38" s="64"/>
      <c r="AC38" s="61"/>
      <c r="AD38" s="66"/>
      <c r="AE38" s="61"/>
      <c r="AF38" s="52">
        <f t="shared" si="4"/>
        <v>-1340</v>
      </c>
      <c r="AG38" s="46">
        <f t="shared" si="5"/>
        <v>-1340</v>
      </c>
      <c r="AH38" s="51">
        <f t="shared" si="6"/>
        <v>-2680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7">
        <f>SUM(E39:P39)</f>
        <v>0</v>
      </c>
      <c r="R39" s="128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10820</v>
      </c>
      <c r="D40" s="6"/>
      <c r="E40" s="128"/>
      <c r="F40" s="128"/>
      <c r="G40" s="128"/>
      <c r="H40" s="27"/>
      <c r="I40" s="128"/>
      <c r="J40" s="128"/>
      <c r="K40" s="128"/>
      <c r="L40" s="128"/>
      <c r="M40" s="128"/>
      <c r="N40" s="128"/>
      <c r="O40" s="128"/>
      <c r="P40" s="128"/>
      <c r="Q40" s="7">
        <f>SUM(E40:P40)</f>
        <v>0</v>
      </c>
      <c r="R40" s="128"/>
      <c r="S40" s="6">
        <f t="shared" si="1"/>
        <v>10820</v>
      </c>
      <c r="T40" s="6">
        <f>-10260+40</f>
        <v>-10220</v>
      </c>
      <c r="U40" s="6">
        <f t="shared" si="2"/>
        <v>600</v>
      </c>
      <c r="V40" s="52"/>
      <c r="W40" s="57"/>
      <c r="X40" s="46"/>
      <c r="Y40" s="61"/>
      <c r="Z40" s="66">
        <f t="shared" si="3"/>
        <v>-10820</v>
      </c>
      <c r="AA40" s="61"/>
      <c r="AB40" s="67"/>
      <c r="AC40" s="61"/>
      <c r="AD40" s="66"/>
      <c r="AE40" s="61"/>
      <c r="AF40" s="52">
        <f t="shared" si="4"/>
        <v>-10820</v>
      </c>
      <c r="AG40" s="46">
        <f t="shared" si="5"/>
        <v>-10220</v>
      </c>
      <c r="AH40" s="51">
        <f t="shared" si="6"/>
        <v>-21040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7">
        <f>SUM(E41:P41)</f>
        <v>0</v>
      </c>
      <c r="R41" s="128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7">
        <f>SUM(E42:P42)</f>
        <v>0</v>
      </c>
      <c r="R42" s="128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7">
        <f t="shared" si="0"/>
        <v>0</v>
      </c>
      <c r="R44" s="128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7">
        <f t="shared" si="0"/>
        <v>0</v>
      </c>
      <c r="R45" s="128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7">
        <f t="shared" si="0"/>
        <v>0</v>
      </c>
      <c r="R46" s="128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7">
        <f t="shared" si="0"/>
        <v>0</v>
      </c>
      <c r="R47" s="128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7">
        <f t="shared" si="0"/>
        <v>0</v>
      </c>
      <c r="R48" s="128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7">
        <f t="shared" si="0"/>
        <v>0</v>
      </c>
      <c r="R49" s="128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12300</v>
      </c>
      <c r="D50" s="6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7">
        <f t="shared" si="0"/>
        <v>0</v>
      </c>
      <c r="R50" s="128"/>
      <c r="S50" s="6">
        <f t="shared" si="1"/>
        <v>12300</v>
      </c>
      <c r="T50" s="6">
        <f>-12000+8615</f>
        <v>-3385</v>
      </c>
      <c r="U50" s="6">
        <f t="shared" si="2"/>
        <v>8915</v>
      </c>
      <c r="V50" s="52"/>
      <c r="W50" s="57"/>
      <c r="X50" s="46"/>
      <c r="Y50" s="61"/>
      <c r="Z50" s="66">
        <f t="shared" si="3"/>
        <v>-12300</v>
      </c>
      <c r="AA50" s="61"/>
      <c r="AB50" s="64"/>
      <c r="AC50" s="61"/>
      <c r="AD50" s="66"/>
      <c r="AE50" s="61"/>
      <c r="AF50" s="52">
        <f t="shared" si="4"/>
        <v>-12300</v>
      </c>
      <c r="AG50" s="46">
        <f t="shared" si="5"/>
        <v>-3385</v>
      </c>
      <c r="AH50" s="51">
        <f t="shared" si="6"/>
        <v>-15685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7">
        <f t="shared" si="0"/>
        <v>0</v>
      </c>
      <c r="R51" s="128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7">
        <f t="shared" si="0"/>
        <v>0</v>
      </c>
      <c r="R52" s="128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7">
        <f t="shared" si="0"/>
        <v>0</v>
      </c>
      <c r="R53" s="128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7">
        <f t="shared" si="0"/>
        <v>0</v>
      </c>
      <c r="R54" s="128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7">
        <f t="shared" si="0"/>
        <v>0</v>
      </c>
      <c r="R55" s="128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7">
        <f>SUM(E56:P56)</f>
        <v>0</v>
      </c>
      <c r="R56" s="128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7">
        <f t="shared" si="0"/>
        <v>0</v>
      </c>
      <c r="R61" s="128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7">
        <f t="shared" si="0"/>
        <v>0</v>
      </c>
      <c r="R62" s="127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7">
        <f t="shared" si="0"/>
        <v>0</v>
      </c>
      <c r="R63" s="127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7">
        <f t="shared" si="0"/>
        <v>0</v>
      </c>
      <c r="R64" s="127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7">
        <f t="shared" si="0"/>
        <v>0</v>
      </c>
      <c r="R65" s="127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29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7">
        <f t="shared" si="0"/>
        <v>0</v>
      </c>
      <c r="R67" s="128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7">
        <f t="shared" si="0"/>
        <v>0</v>
      </c>
      <c r="R68" s="128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27525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7">
        <f t="shared" si="0"/>
        <v>0</v>
      </c>
      <c r="R69" s="128">
        <v>2000</v>
      </c>
      <c r="S69" s="6">
        <f t="shared" si="1"/>
        <v>25525</v>
      </c>
      <c r="T69" s="6">
        <v>-16950</v>
      </c>
      <c r="U69" s="6">
        <f t="shared" si="2"/>
        <v>8575</v>
      </c>
      <c r="V69" s="52"/>
      <c r="W69" s="57"/>
      <c r="X69" s="46"/>
      <c r="Y69" s="61"/>
      <c r="Z69" s="66">
        <f t="shared" si="3"/>
        <v>-25525</v>
      </c>
      <c r="AA69" s="61"/>
      <c r="AB69" s="64"/>
      <c r="AC69" s="61"/>
      <c r="AD69" s="66"/>
      <c r="AE69" s="61"/>
      <c r="AF69" s="52">
        <f t="shared" si="4"/>
        <v>-25525</v>
      </c>
      <c r="AG69" s="46">
        <f t="shared" si="5"/>
        <v>-16950</v>
      </c>
      <c r="AH69" s="51">
        <f t="shared" si="6"/>
        <v>-42475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15175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7">
        <f t="shared" si="0"/>
        <v>0</v>
      </c>
      <c r="R70" s="128"/>
      <c r="S70" s="6">
        <f t="shared" si="1"/>
        <v>15175</v>
      </c>
      <c r="T70" s="6">
        <v>-9425</v>
      </c>
      <c r="U70" s="6">
        <f t="shared" si="2"/>
        <v>5750</v>
      </c>
      <c r="V70" s="52"/>
      <c r="W70" s="57"/>
      <c r="X70" s="46"/>
      <c r="Y70" s="61"/>
      <c r="Z70" s="66">
        <f t="shared" si="3"/>
        <v>-15175</v>
      </c>
      <c r="AA70" s="61"/>
      <c r="AB70" s="67"/>
      <c r="AC70" s="61"/>
      <c r="AD70" s="66"/>
      <c r="AE70" s="61"/>
      <c r="AF70" s="52">
        <f t="shared" si="4"/>
        <v>-15175</v>
      </c>
      <c r="AG70" s="46">
        <f t="shared" si="5"/>
        <v>-9425</v>
      </c>
      <c r="AH70" s="51">
        <f t="shared" si="6"/>
        <v>-24600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48150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7">
        <f t="shared" si="0"/>
        <v>0</v>
      </c>
      <c r="R71" s="128">
        <f>50+5000</f>
        <v>5050</v>
      </c>
      <c r="S71" s="6">
        <f t="shared" si="1"/>
        <v>43100</v>
      </c>
      <c r="T71" s="6">
        <v>-27500</v>
      </c>
      <c r="U71" s="6">
        <f t="shared" si="2"/>
        <v>15600</v>
      </c>
      <c r="V71" s="52"/>
      <c r="W71" s="57"/>
      <c r="X71" s="46"/>
      <c r="Y71" s="61"/>
      <c r="Z71" s="66">
        <f t="shared" si="3"/>
        <v>-43100</v>
      </c>
      <c r="AA71" s="61"/>
      <c r="AB71" s="64"/>
      <c r="AC71" s="61"/>
      <c r="AD71" s="66"/>
      <c r="AE71" s="61"/>
      <c r="AF71" s="52">
        <f t="shared" si="4"/>
        <v>-43100</v>
      </c>
      <c r="AG71" s="46">
        <f t="shared" si="5"/>
        <v>-27500</v>
      </c>
      <c r="AH71" s="51">
        <f t="shared" si="6"/>
        <v>-70600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28">
        <f>SUM(C7:C72)</f>
        <v>428485</v>
      </c>
      <c r="D73" s="128">
        <f t="shared" ref="D73:V73" si="11">SUM(D7:D72)</f>
        <v>10100</v>
      </c>
      <c r="E73" s="128">
        <f t="shared" si="11"/>
        <v>0</v>
      </c>
      <c r="F73" s="128">
        <f t="shared" si="11"/>
        <v>0</v>
      </c>
      <c r="G73" s="128">
        <f t="shared" si="11"/>
        <v>0</v>
      </c>
      <c r="H73" s="27">
        <f t="shared" si="11"/>
        <v>0</v>
      </c>
      <c r="I73" s="128">
        <f t="shared" si="11"/>
        <v>0</v>
      </c>
      <c r="J73" s="128">
        <f t="shared" si="11"/>
        <v>0</v>
      </c>
      <c r="K73" s="128">
        <f t="shared" si="11"/>
        <v>1680</v>
      </c>
      <c r="L73" s="128">
        <f t="shared" si="11"/>
        <v>0</v>
      </c>
      <c r="M73" s="128">
        <f t="shared" si="11"/>
        <v>0</v>
      </c>
      <c r="N73" s="128">
        <f t="shared" si="11"/>
        <v>0</v>
      </c>
      <c r="O73" s="128">
        <f t="shared" si="11"/>
        <v>4120</v>
      </c>
      <c r="P73" s="128">
        <f t="shared" si="11"/>
        <v>0</v>
      </c>
      <c r="Q73" s="128">
        <f t="shared" si="11"/>
        <v>5800</v>
      </c>
      <c r="R73" s="128">
        <f t="shared" si="11"/>
        <v>16920</v>
      </c>
      <c r="S73" s="128">
        <f t="shared" si="11"/>
        <v>421665</v>
      </c>
      <c r="T73" s="128">
        <f t="shared" si="11"/>
        <v>-286670</v>
      </c>
      <c r="U73" s="128">
        <f t="shared" si="11"/>
        <v>134995</v>
      </c>
      <c r="V73" s="128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-421665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-421665</v>
      </c>
      <c r="AG73" s="43">
        <f t="shared" si="12"/>
        <v>-286670</v>
      </c>
      <c r="AH73" s="43">
        <f t="shared" si="12"/>
        <v>-708335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5800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</f>
        <v>331975</v>
      </c>
      <c r="S74" s="211"/>
      <c r="T74" s="212">
        <f>R74+R75</f>
        <v>848535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10100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</f>
        <v>516560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16920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</f>
        <v>583340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</f>
        <v>99350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108350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4120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11780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474990</v>
      </c>
      <c r="S80" s="197"/>
      <c r="T80" s="22"/>
      <c r="U80" s="22"/>
      <c r="V80" s="2"/>
      <c r="X80" s="63">
        <f>SUM(X77:X79)</f>
        <v>15900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30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15000</v>
      </c>
      <c r="R118" s="63">
        <f t="shared" si="14"/>
        <v>108800</v>
      </c>
      <c r="S118" s="63"/>
      <c r="T118" s="63">
        <f>SUM(T87:T117)</f>
        <v>583340</v>
      </c>
      <c r="U118" s="63"/>
      <c r="V118" s="63">
        <f>SUM(V87:V117)</f>
        <v>331975</v>
      </c>
      <c r="W118" s="63">
        <f>SUM(W87:W117)</f>
        <v>516560</v>
      </c>
      <c r="X118" s="36">
        <f>SUM(V118:W118)</f>
        <v>848535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49" activePane="bottomRight" state="frozen"/>
      <selection activeCell="O32" sqref="O32"/>
      <selection pane="topRight" activeCell="O32" sqref="O32"/>
      <selection pane="bottomLeft" activeCell="O32" sqref="O32"/>
      <selection pane="bottomRight" activeCell="O73" sqref="O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165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164</v>
      </c>
      <c r="P6" s="30" t="s">
        <v>157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16350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800+1000</f>
        <v>1800</v>
      </c>
      <c r="S7" s="6">
        <f>C7+D7-R7</f>
        <v>14550</v>
      </c>
      <c r="T7" s="34">
        <v>-9150</v>
      </c>
      <c r="U7" s="6">
        <f>S7+T7</f>
        <v>5400</v>
      </c>
      <c r="V7" s="52"/>
      <c r="W7" s="57"/>
      <c r="X7" s="46"/>
      <c r="Y7" s="65"/>
      <c r="Z7" s="66">
        <f>W7-S7</f>
        <v>-14550</v>
      </c>
      <c r="AA7" s="65"/>
      <c r="AB7" s="67"/>
      <c r="AC7" s="65"/>
      <c r="AD7" s="47"/>
      <c r="AE7" s="61"/>
      <c r="AF7" s="52">
        <f>SUM(Y7:AE7)</f>
        <v>-14550</v>
      </c>
      <c r="AG7" s="46">
        <f>U7+AF7</f>
        <v>-9150</v>
      </c>
      <c r="AH7" s="51">
        <f>AG7-S7</f>
        <v>-23700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29150</v>
      </c>
      <c r="D8" s="6">
        <v>12850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1700+5000</f>
        <v>6700</v>
      </c>
      <c r="S8" s="6">
        <f t="shared" ref="S8:S71" si="1">C8+D8-R8</f>
        <v>35300</v>
      </c>
      <c r="T8" s="6">
        <v>-24350</v>
      </c>
      <c r="U8" s="6">
        <f t="shared" ref="U8:U71" si="2">S8+T8</f>
        <v>10950</v>
      </c>
      <c r="V8" s="52"/>
      <c r="W8" s="57"/>
      <c r="X8" s="46"/>
      <c r="Y8" s="61"/>
      <c r="Z8" s="66">
        <f t="shared" ref="Z8:Z71" si="3">W8-S8</f>
        <v>-35300</v>
      </c>
      <c r="AA8" s="61"/>
      <c r="AB8" s="67"/>
      <c r="AC8" s="61"/>
      <c r="AD8" s="66"/>
      <c r="AE8" s="61"/>
      <c r="AF8" s="52">
        <f t="shared" ref="AF8:AF71" si="4">SUM(Y8:AE8)</f>
        <v>-35300</v>
      </c>
      <c r="AG8" s="46">
        <f t="shared" ref="AG8:AG71" si="5">U8+AF8</f>
        <v>-24350</v>
      </c>
      <c r="AH8" s="51">
        <f t="shared" ref="AH8:AH71" si="6">AG8-S8</f>
        <v>-59650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4750</v>
      </c>
      <c r="D11" s="6">
        <f>4700+5000</f>
        <v>9700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500+1000+150</f>
        <v>1650</v>
      </c>
      <c r="S11" s="6">
        <f t="shared" si="1"/>
        <v>12800</v>
      </c>
      <c r="T11" s="6">
        <v>-3750</v>
      </c>
      <c r="U11" s="6">
        <f t="shared" si="2"/>
        <v>9050</v>
      </c>
      <c r="V11" s="52"/>
      <c r="W11" s="57"/>
      <c r="X11" s="46"/>
      <c r="Y11" s="61"/>
      <c r="Z11" s="66">
        <f t="shared" si="3"/>
        <v>-12800</v>
      </c>
      <c r="AA11" s="61"/>
      <c r="AB11" s="67"/>
      <c r="AC11" s="61"/>
      <c r="AD11" s="66"/>
      <c r="AE11" s="61"/>
      <c r="AF11" s="52">
        <f t="shared" si="4"/>
        <v>-12800</v>
      </c>
      <c r="AG11" s="46">
        <f t="shared" si="5"/>
        <v>-3750</v>
      </c>
      <c r="AH11" s="51">
        <f t="shared" si="6"/>
        <v>-16550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-550</v>
      </c>
      <c r="D12" s="6">
        <v>4900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300</v>
      </c>
      <c r="S12" s="6">
        <f t="shared" si="1"/>
        <v>4050</v>
      </c>
      <c r="T12" s="6">
        <v>4700</v>
      </c>
      <c r="U12" s="6">
        <f t="shared" si="2"/>
        <v>8750</v>
      </c>
      <c r="V12" s="52"/>
      <c r="W12" s="57"/>
      <c r="X12" s="46"/>
      <c r="Y12" s="61"/>
      <c r="Z12" s="66">
        <f t="shared" si="3"/>
        <v>-4050</v>
      </c>
      <c r="AA12" s="61"/>
      <c r="AB12" s="67"/>
      <c r="AC12" s="61"/>
      <c r="AD12" s="66"/>
      <c r="AE12" s="61"/>
      <c r="AF12" s="52">
        <f t="shared" si="4"/>
        <v>-4050</v>
      </c>
      <c r="AG12" s="46">
        <f t="shared" si="5"/>
        <v>4700</v>
      </c>
      <c r="AH12" s="51">
        <f t="shared" si="6"/>
        <v>650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12060</v>
      </c>
      <c r="D14" s="6">
        <f>26050+10000+2000</f>
        <v>38050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2000+6000+3800+1850+3500</f>
        <v>17150</v>
      </c>
      <c r="S14" s="6">
        <f t="shared" si="1"/>
        <v>32960</v>
      </c>
      <c r="T14" s="6">
        <v>-5760</v>
      </c>
      <c r="U14" s="6">
        <f t="shared" si="2"/>
        <v>27200</v>
      </c>
      <c r="V14" s="52"/>
      <c r="W14" s="57"/>
      <c r="X14" s="46"/>
      <c r="Y14" s="61"/>
      <c r="Z14" s="66">
        <f t="shared" si="3"/>
        <v>-32960</v>
      </c>
      <c r="AA14" s="61"/>
      <c r="AB14" s="66"/>
      <c r="AC14" s="61"/>
      <c r="AD14" s="66"/>
      <c r="AE14" s="61"/>
      <c r="AF14" s="52">
        <f t="shared" si="4"/>
        <v>-32960</v>
      </c>
      <c r="AG14" s="46">
        <f t="shared" si="5"/>
        <v>-5760</v>
      </c>
      <c r="AH14" s="51">
        <f t="shared" si="6"/>
        <v>-38720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12400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500</v>
      </c>
      <c r="S16" s="6">
        <f t="shared" si="1"/>
        <v>11900</v>
      </c>
      <c r="T16" s="34">
        <v>-10050</v>
      </c>
      <c r="U16" s="6">
        <f t="shared" si="2"/>
        <v>1850</v>
      </c>
      <c r="V16" s="52"/>
      <c r="W16" s="57"/>
      <c r="X16" s="46"/>
      <c r="Y16" s="61"/>
      <c r="Z16" s="66">
        <f t="shared" si="3"/>
        <v>-11900</v>
      </c>
      <c r="AA16" s="61"/>
      <c r="AB16" s="67"/>
      <c r="AC16" s="61"/>
      <c r="AD16" s="47"/>
      <c r="AE16" s="61"/>
      <c r="AF16" s="52">
        <f t="shared" si="4"/>
        <v>-11900</v>
      </c>
      <c r="AG16" s="46">
        <f t="shared" si="5"/>
        <v>-10050</v>
      </c>
      <c r="AH16" s="51">
        <f t="shared" si="6"/>
        <v>-21950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11300</v>
      </c>
      <c r="D17" s="6">
        <v>5000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v>500</v>
      </c>
      <c r="S17" s="6">
        <f t="shared" si="1"/>
        <v>15800</v>
      </c>
      <c r="T17" s="6">
        <v>-5000</v>
      </c>
      <c r="U17" s="6">
        <f t="shared" si="2"/>
        <v>10800</v>
      </c>
      <c r="V17" s="52"/>
      <c r="W17" s="57"/>
      <c r="X17" s="46"/>
      <c r="Y17" s="61"/>
      <c r="Z17" s="66">
        <f t="shared" si="3"/>
        <v>-15800</v>
      </c>
      <c r="AA17" s="61"/>
      <c r="AB17" s="66"/>
      <c r="AC17" s="61"/>
      <c r="AD17" s="66"/>
      <c r="AE17" s="61"/>
      <c r="AF17" s="52">
        <f t="shared" si="4"/>
        <v>-15800</v>
      </c>
      <c r="AG17" s="46">
        <f t="shared" si="5"/>
        <v>-5000</v>
      </c>
      <c r="AH17" s="51">
        <f t="shared" si="6"/>
        <v>-20800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3245</v>
      </c>
      <c r="D20" s="6"/>
      <c r="E20" s="6"/>
      <c r="F20" s="6"/>
      <c r="G20" s="6"/>
      <c r="H20" s="6"/>
      <c r="I20" s="6"/>
      <c r="J20" s="6"/>
      <c r="K20" s="6">
        <v>300</v>
      </c>
      <c r="L20" s="6"/>
      <c r="M20" s="6"/>
      <c r="N20" s="6"/>
      <c r="O20" s="6"/>
      <c r="P20" s="6"/>
      <c r="Q20" s="7">
        <f t="shared" si="0"/>
        <v>300</v>
      </c>
      <c r="R20" s="6"/>
      <c r="S20" s="6">
        <f t="shared" si="1"/>
        <v>3245</v>
      </c>
      <c r="T20" s="6">
        <v>-1605</v>
      </c>
      <c r="U20" s="6">
        <f t="shared" si="2"/>
        <v>1640</v>
      </c>
      <c r="V20" s="52"/>
      <c r="W20" s="57"/>
      <c r="X20" s="46"/>
      <c r="Y20" s="61"/>
      <c r="Z20" s="66">
        <f t="shared" si="3"/>
        <v>-3245</v>
      </c>
      <c r="AA20" s="61"/>
      <c r="AB20" s="67"/>
      <c r="AC20" s="61"/>
      <c r="AD20" s="66"/>
      <c r="AE20" s="61"/>
      <c r="AF20" s="52">
        <f t="shared" si="4"/>
        <v>-3245</v>
      </c>
      <c r="AG20" s="46">
        <f t="shared" si="5"/>
        <v>-1605</v>
      </c>
      <c r="AH20" s="51">
        <f t="shared" si="6"/>
        <v>-4850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7">
        <f t="shared" si="0"/>
        <v>0</v>
      </c>
      <c r="R22" s="134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7">
        <f t="shared" si="0"/>
        <v>0</v>
      </c>
      <c r="R24" s="134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7">
        <f t="shared" si="0"/>
        <v>0</v>
      </c>
      <c r="R25" s="134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7">
        <f t="shared" si="0"/>
        <v>0</v>
      </c>
      <c r="R26" s="134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7760</v>
      </c>
      <c r="D27" s="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>
        <v>760</v>
      </c>
      <c r="P27" s="134"/>
      <c r="Q27" s="7">
        <f t="shared" si="0"/>
        <v>760</v>
      </c>
      <c r="R27" s="134"/>
      <c r="S27" s="6">
        <f t="shared" si="1"/>
        <v>7760</v>
      </c>
      <c r="T27" s="6">
        <v>-40</v>
      </c>
      <c r="U27" s="6">
        <f t="shared" si="2"/>
        <v>7720</v>
      </c>
      <c r="V27" s="52"/>
      <c r="W27" s="57"/>
      <c r="X27" s="46"/>
      <c r="Y27" s="61"/>
      <c r="Z27" s="66">
        <f t="shared" si="3"/>
        <v>-7760</v>
      </c>
      <c r="AA27" s="61"/>
      <c r="AB27" s="67"/>
      <c r="AC27" s="61"/>
      <c r="AD27" s="66"/>
      <c r="AE27" s="61"/>
      <c r="AF27" s="52">
        <f t="shared" si="4"/>
        <v>-7760</v>
      </c>
      <c r="AG27" s="46">
        <f t="shared" si="5"/>
        <v>-40</v>
      </c>
      <c r="AH27" s="51">
        <f t="shared" si="6"/>
        <v>-7800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6200</v>
      </c>
      <c r="D28" s="6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7">
        <f t="shared" si="0"/>
        <v>0</v>
      </c>
      <c r="R28" s="134"/>
      <c r="S28" s="6">
        <f t="shared" si="1"/>
        <v>6200</v>
      </c>
      <c r="T28" s="6">
        <f>-40-100</f>
        <v>-140</v>
      </c>
      <c r="U28" s="6">
        <f t="shared" si="2"/>
        <v>6060</v>
      </c>
      <c r="V28" s="52"/>
      <c r="W28" s="57"/>
      <c r="X28" s="46"/>
      <c r="Y28" s="61"/>
      <c r="Z28" s="66">
        <f t="shared" si="3"/>
        <v>-6200</v>
      </c>
      <c r="AA28" s="61"/>
      <c r="AB28" s="67"/>
      <c r="AC28" s="61"/>
      <c r="AD28" s="66"/>
      <c r="AE28" s="61"/>
      <c r="AF28" s="52">
        <f t="shared" si="4"/>
        <v>-6200</v>
      </c>
      <c r="AG28" s="46">
        <f t="shared" si="5"/>
        <v>-140</v>
      </c>
      <c r="AH28" s="51">
        <f t="shared" si="6"/>
        <v>-6340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4800</v>
      </c>
      <c r="D29" s="6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7">
        <f t="shared" si="0"/>
        <v>0</v>
      </c>
      <c r="R29" s="134"/>
      <c r="S29" s="6">
        <f t="shared" si="1"/>
        <v>4800</v>
      </c>
      <c r="T29" s="6">
        <f>860+100</f>
        <v>960</v>
      </c>
      <c r="U29" s="6">
        <f t="shared" si="2"/>
        <v>5760</v>
      </c>
      <c r="V29" s="52"/>
      <c r="W29" s="57"/>
      <c r="X29" s="46"/>
      <c r="Y29" s="61"/>
      <c r="Z29" s="66">
        <f t="shared" si="3"/>
        <v>-4800</v>
      </c>
      <c r="AA29" s="61"/>
      <c r="AB29" s="67"/>
      <c r="AC29" s="61"/>
      <c r="AD29" s="66"/>
      <c r="AE29" s="61"/>
      <c r="AF29" s="52">
        <f t="shared" si="4"/>
        <v>-4800</v>
      </c>
      <c r="AG29" s="46">
        <f t="shared" si="5"/>
        <v>960</v>
      </c>
      <c r="AH29" s="51">
        <f t="shared" si="6"/>
        <v>-3840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7">
        <f t="shared" si="0"/>
        <v>0</v>
      </c>
      <c r="R30" s="134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7">
        <f t="shared" si="0"/>
        <v>0</v>
      </c>
      <c r="R31" s="134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29720</v>
      </c>
      <c r="D32" s="6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6"/>
      <c r="P32" s="6"/>
      <c r="Q32" s="7">
        <f>SUM(E32:P32)</f>
        <v>0</v>
      </c>
      <c r="R32" s="134"/>
      <c r="S32" s="6">
        <f t="shared" si="1"/>
        <v>29720</v>
      </c>
      <c r="T32" s="6">
        <v>-18280</v>
      </c>
      <c r="U32" s="6">
        <f t="shared" si="2"/>
        <v>11440</v>
      </c>
      <c r="V32" s="52"/>
      <c r="W32" s="57"/>
      <c r="X32" s="46"/>
      <c r="Y32" s="61"/>
      <c r="Z32" s="66">
        <f t="shared" si="3"/>
        <v>-29720</v>
      </c>
      <c r="AA32" s="61"/>
      <c r="AB32" s="67"/>
      <c r="AC32" s="61"/>
      <c r="AD32" s="66"/>
      <c r="AE32" s="61"/>
      <c r="AF32" s="52">
        <f t="shared" si="4"/>
        <v>-29720</v>
      </c>
      <c r="AG32" s="46">
        <f t="shared" si="5"/>
        <v>-18280</v>
      </c>
      <c r="AH32" s="51">
        <f t="shared" si="6"/>
        <v>-48000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7">
        <f t="shared" si="0"/>
        <v>0</v>
      </c>
      <c r="R33" s="134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34"/>
      <c r="F34" s="134"/>
      <c r="G34" s="134"/>
      <c r="H34" s="134"/>
      <c r="I34" s="134"/>
      <c r="J34" s="134"/>
      <c r="K34" s="6"/>
      <c r="L34" s="134"/>
      <c r="M34" s="134"/>
      <c r="N34" s="134"/>
      <c r="O34" s="134"/>
      <c r="P34" s="134"/>
      <c r="Q34" s="7">
        <f t="shared" si="0"/>
        <v>0</v>
      </c>
      <c r="R34" s="134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34"/>
      <c r="F35" s="134"/>
      <c r="G35" s="134"/>
      <c r="H35" s="134"/>
      <c r="I35" s="134"/>
      <c r="J35" s="134"/>
      <c r="K35" s="6">
        <v>8240</v>
      </c>
      <c r="L35" s="134"/>
      <c r="M35" s="134"/>
      <c r="N35" s="134"/>
      <c r="O35" s="134"/>
      <c r="P35" s="134"/>
      <c r="Q35" s="7">
        <f t="shared" si="0"/>
        <v>8240</v>
      </c>
      <c r="R35" s="134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7">
        <f t="shared" si="0"/>
        <v>0</v>
      </c>
      <c r="R36" s="134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7">
        <f t="shared" si="0"/>
        <v>0</v>
      </c>
      <c r="R37" s="134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1340</v>
      </c>
      <c r="D38" s="6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7">
        <f>SUM(E38:P38)</f>
        <v>0</v>
      </c>
      <c r="R38" s="134"/>
      <c r="S38" s="6">
        <f t="shared" si="1"/>
        <v>1340</v>
      </c>
      <c r="T38" s="6">
        <v>-1340</v>
      </c>
      <c r="U38" s="6">
        <f t="shared" si="2"/>
        <v>0</v>
      </c>
      <c r="V38" s="52"/>
      <c r="W38" s="57"/>
      <c r="X38" s="46"/>
      <c r="Y38" s="61"/>
      <c r="Z38" s="66">
        <f t="shared" si="3"/>
        <v>-1340</v>
      </c>
      <c r="AA38" s="61"/>
      <c r="AB38" s="64"/>
      <c r="AC38" s="61"/>
      <c r="AD38" s="66"/>
      <c r="AE38" s="61"/>
      <c r="AF38" s="52">
        <f t="shared" si="4"/>
        <v>-1340</v>
      </c>
      <c r="AG38" s="46">
        <f t="shared" si="5"/>
        <v>-1340</v>
      </c>
      <c r="AH38" s="51">
        <f t="shared" si="6"/>
        <v>-2680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7">
        <f>SUM(E39:P39)</f>
        <v>0</v>
      </c>
      <c r="R39" s="134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10820</v>
      </c>
      <c r="D40" s="6"/>
      <c r="E40" s="134"/>
      <c r="F40" s="134"/>
      <c r="G40" s="134"/>
      <c r="H40" s="27"/>
      <c r="I40" s="134"/>
      <c r="J40" s="134"/>
      <c r="K40" s="134"/>
      <c r="L40" s="134"/>
      <c r="M40" s="134"/>
      <c r="N40" s="134"/>
      <c r="O40" s="134"/>
      <c r="P40" s="134"/>
      <c r="Q40" s="7">
        <f>SUM(E40:P40)</f>
        <v>0</v>
      </c>
      <c r="R40" s="134"/>
      <c r="S40" s="6">
        <f t="shared" si="1"/>
        <v>10820</v>
      </c>
      <c r="T40" s="6">
        <f>-10260+40</f>
        <v>-10220</v>
      </c>
      <c r="U40" s="6">
        <f t="shared" si="2"/>
        <v>600</v>
      </c>
      <c r="V40" s="52"/>
      <c r="W40" s="57"/>
      <c r="X40" s="46"/>
      <c r="Y40" s="61"/>
      <c r="Z40" s="66">
        <f t="shared" si="3"/>
        <v>-10820</v>
      </c>
      <c r="AA40" s="61"/>
      <c r="AB40" s="67"/>
      <c r="AC40" s="61"/>
      <c r="AD40" s="66"/>
      <c r="AE40" s="61"/>
      <c r="AF40" s="52">
        <f t="shared" si="4"/>
        <v>-10820</v>
      </c>
      <c r="AG40" s="46">
        <f t="shared" si="5"/>
        <v>-10220</v>
      </c>
      <c r="AH40" s="51">
        <f t="shared" si="6"/>
        <v>-21040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7">
        <f>SUM(E41:P41)</f>
        <v>0</v>
      </c>
      <c r="R41" s="134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7">
        <f>SUM(E42:P42)</f>
        <v>0</v>
      </c>
      <c r="R42" s="134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7">
        <f t="shared" si="0"/>
        <v>0</v>
      </c>
      <c r="R44" s="134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7">
        <f t="shared" si="0"/>
        <v>0</v>
      </c>
      <c r="R45" s="134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7">
        <f t="shared" si="0"/>
        <v>0</v>
      </c>
      <c r="R46" s="134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7">
        <f t="shared" si="0"/>
        <v>0</v>
      </c>
      <c r="R47" s="134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7">
        <f t="shared" si="0"/>
        <v>0</v>
      </c>
      <c r="R48" s="134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7">
        <f t="shared" si="0"/>
        <v>0</v>
      </c>
      <c r="R49" s="134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12300</v>
      </c>
      <c r="D50" s="6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7">
        <f t="shared" si="0"/>
        <v>0</v>
      </c>
      <c r="R50" s="134"/>
      <c r="S50" s="6">
        <f t="shared" si="1"/>
        <v>12300</v>
      </c>
      <c r="T50" s="6">
        <f>-12000+8615</f>
        <v>-3385</v>
      </c>
      <c r="U50" s="6">
        <f t="shared" si="2"/>
        <v>8915</v>
      </c>
      <c r="V50" s="52"/>
      <c r="W50" s="57"/>
      <c r="X50" s="46"/>
      <c r="Y50" s="61"/>
      <c r="Z50" s="66">
        <f t="shared" si="3"/>
        <v>-12300</v>
      </c>
      <c r="AA50" s="61"/>
      <c r="AB50" s="64"/>
      <c r="AC50" s="61"/>
      <c r="AD50" s="66"/>
      <c r="AE50" s="61"/>
      <c r="AF50" s="52">
        <f t="shared" si="4"/>
        <v>-12300</v>
      </c>
      <c r="AG50" s="46">
        <f t="shared" si="5"/>
        <v>-3385</v>
      </c>
      <c r="AH50" s="51">
        <f t="shared" si="6"/>
        <v>-15685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7">
        <f t="shared" si="0"/>
        <v>0</v>
      </c>
      <c r="R51" s="134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7">
        <f t="shared" si="0"/>
        <v>0</v>
      </c>
      <c r="R52" s="134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7">
        <f t="shared" si="0"/>
        <v>0</v>
      </c>
      <c r="R53" s="134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7">
        <f t="shared" si="0"/>
        <v>0</v>
      </c>
      <c r="R54" s="134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7">
        <f t="shared" si="0"/>
        <v>0</v>
      </c>
      <c r="R55" s="134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7">
        <f>SUM(E56:P56)</f>
        <v>0</v>
      </c>
      <c r="R56" s="134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7">
        <f t="shared" si="0"/>
        <v>0</v>
      </c>
      <c r="R61" s="134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7">
        <f t="shared" si="0"/>
        <v>0</v>
      </c>
      <c r="R62" s="133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7">
        <f t="shared" si="0"/>
        <v>0</v>
      </c>
      <c r="R63" s="133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7">
        <f t="shared" si="0"/>
        <v>0</v>
      </c>
      <c r="R64" s="133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7">
        <f t="shared" si="0"/>
        <v>0</v>
      </c>
      <c r="R65" s="133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32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34">
        <v>1000</v>
      </c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7">
        <f t="shared" si="0"/>
        <v>0</v>
      </c>
      <c r="R67" s="134"/>
      <c r="S67" s="6">
        <f t="shared" si="1"/>
        <v>2925</v>
      </c>
      <c r="T67" s="6">
        <v>-1525</v>
      </c>
      <c r="U67" s="6">
        <f t="shared" si="2"/>
        <v>1400</v>
      </c>
      <c r="V67" s="52"/>
      <c r="W67" s="57"/>
      <c r="X67" s="46"/>
      <c r="Y67" s="61"/>
      <c r="Z67" s="66">
        <f t="shared" si="3"/>
        <v>-2925</v>
      </c>
      <c r="AA67" s="61"/>
      <c r="AB67" s="67"/>
      <c r="AC67" s="61"/>
      <c r="AD67" s="66"/>
      <c r="AE67" s="61"/>
      <c r="AF67" s="52">
        <f t="shared" si="4"/>
        <v>-2925</v>
      </c>
      <c r="AG67" s="46">
        <f t="shared" si="5"/>
        <v>-1525</v>
      </c>
      <c r="AH67" s="51">
        <f t="shared" si="6"/>
        <v>-4450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7">
        <f t="shared" si="0"/>
        <v>0</v>
      </c>
      <c r="R68" s="134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25525</v>
      </c>
      <c r="D69" s="134">
        <f>3000+7000</f>
        <v>10000</v>
      </c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7">
        <f t="shared" si="0"/>
        <v>0</v>
      </c>
      <c r="R69" s="134">
        <f>2000+200+1500</f>
        <v>3700</v>
      </c>
      <c r="S69" s="6">
        <f t="shared" si="1"/>
        <v>31825</v>
      </c>
      <c r="T69" s="6">
        <v>-16950</v>
      </c>
      <c r="U69" s="6">
        <f t="shared" si="2"/>
        <v>14875</v>
      </c>
      <c r="V69" s="52"/>
      <c r="W69" s="57"/>
      <c r="X69" s="46"/>
      <c r="Y69" s="61"/>
      <c r="Z69" s="66">
        <f t="shared" si="3"/>
        <v>-31825</v>
      </c>
      <c r="AA69" s="61"/>
      <c r="AB69" s="64"/>
      <c r="AC69" s="61"/>
      <c r="AD69" s="66"/>
      <c r="AE69" s="61"/>
      <c r="AF69" s="52">
        <f t="shared" si="4"/>
        <v>-31825</v>
      </c>
      <c r="AG69" s="46">
        <f t="shared" si="5"/>
        <v>-16950</v>
      </c>
      <c r="AH69" s="51">
        <f t="shared" si="6"/>
        <v>-48775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15175</v>
      </c>
      <c r="D70" s="134">
        <v>5925</v>
      </c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7">
        <f t="shared" si="0"/>
        <v>0</v>
      </c>
      <c r="R70" s="134">
        <v>2500</v>
      </c>
      <c r="S70" s="6">
        <f t="shared" si="1"/>
        <v>18600</v>
      </c>
      <c r="T70" s="6">
        <v>-9425</v>
      </c>
      <c r="U70" s="6">
        <f t="shared" si="2"/>
        <v>9175</v>
      </c>
      <c r="V70" s="52"/>
      <c r="W70" s="57"/>
      <c r="X70" s="46"/>
      <c r="Y70" s="61"/>
      <c r="Z70" s="66">
        <f t="shared" si="3"/>
        <v>-18600</v>
      </c>
      <c r="AA70" s="61"/>
      <c r="AB70" s="67"/>
      <c r="AC70" s="61"/>
      <c r="AD70" s="66"/>
      <c r="AE70" s="61"/>
      <c r="AF70" s="52">
        <f t="shared" si="4"/>
        <v>-18600</v>
      </c>
      <c r="AG70" s="46">
        <f t="shared" si="5"/>
        <v>-9425</v>
      </c>
      <c r="AH70" s="51">
        <f t="shared" si="6"/>
        <v>-28025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43100</v>
      </c>
      <c r="D71" s="134">
        <v>8675</v>
      </c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7">
        <f t="shared" si="0"/>
        <v>0</v>
      </c>
      <c r="R71" s="134">
        <f>4000+1500</f>
        <v>5500</v>
      </c>
      <c r="S71" s="6">
        <f t="shared" si="1"/>
        <v>46275</v>
      </c>
      <c r="T71" s="6">
        <v>-27500</v>
      </c>
      <c r="U71" s="6">
        <f t="shared" si="2"/>
        <v>18775</v>
      </c>
      <c r="V71" s="52"/>
      <c r="W71" s="57"/>
      <c r="X71" s="46"/>
      <c r="Y71" s="61"/>
      <c r="Z71" s="66">
        <f t="shared" si="3"/>
        <v>-46275</v>
      </c>
      <c r="AA71" s="61"/>
      <c r="AB71" s="64"/>
      <c r="AC71" s="61"/>
      <c r="AD71" s="66"/>
      <c r="AE71" s="61"/>
      <c r="AF71" s="52">
        <f t="shared" si="4"/>
        <v>-46275</v>
      </c>
      <c r="AG71" s="46">
        <f t="shared" si="5"/>
        <v>-27500</v>
      </c>
      <c r="AH71" s="51">
        <f t="shared" si="6"/>
        <v>-73775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34">
        <f>SUM(C7:C72)</f>
        <v>421665</v>
      </c>
      <c r="D73" s="134">
        <f t="shared" ref="D73:V73" si="11">SUM(D7:D72)</f>
        <v>96100</v>
      </c>
      <c r="E73" s="134">
        <f t="shared" si="11"/>
        <v>0</v>
      </c>
      <c r="F73" s="134">
        <f t="shared" si="11"/>
        <v>0</v>
      </c>
      <c r="G73" s="134">
        <f t="shared" si="11"/>
        <v>0</v>
      </c>
      <c r="H73" s="27">
        <f t="shared" si="11"/>
        <v>0</v>
      </c>
      <c r="I73" s="134">
        <f t="shared" si="11"/>
        <v>0</v>
      </c>
      <c r="J73" s="134">
        <f t="shared" si="11"/>
        <v>0</v>
      </c>
      <c r="K73" s="134">
        <f t="shared" si="11"/>
        <v>8540</v>
      </c>
      <c r="L73" s="134">
        <f t="shared" si="11"/>
        <v>0</v>
      </c>
      <c r="M73" s="134">
        <f t="shared" si="11"/>
        <v>0</v>
      </c>
      <c r="N73" s="134">
        <f t="shared" si="11"/>
        <v>0</v>
      </c>
      <c r="O73" s="134">
        <f t="shared" si="11"/>
        <v>760</v>
      </c>
      <c r="P73" s="134">
        <f t="shared" si="11"/>
        <v>0</v>
      </c>
      <c r="Q73" s="134">
        <f t="shared" si="11"/>
        <v>9300</v>
      </c>
      <c r="R73" s="134">
        <f t="shared" si="11"/>
        <v>40300</v>
      </c>
      <c r="S73" s="134">
        <f t="shared" si="11"/>
        <v>477465</v>
      </c>
      <c r="T73" s="134">
        <f t="shared" si="11"/>
        <v>-286670</v>
      </c>
      <c r="U73" s="134">
        <f t="shared" si="11"/>
        <v>190795</v>
      </c>
      <c r="V73" s="134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-477465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-477465</v>
      </c>
      <c r="AG73" s="43">
        <f t="shared" si="12"/>
        <v>-286670</v>
      </c>
      <c r="AH73" s="43">
        <f t="shared" si="12"/>
        <v>-764135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9300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</f>
        <v>331975</v>
      </c>
      <c r="S74" s="211"/>
      <c r="T74" s="212">
        <f>R74+R75</f>
        <v>848535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96100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</f>
        <v>516560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40300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</f>
        <v>583340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</f>
        <v>99350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108350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55600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49800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474990</v>
      </c>
      <c r="S80" s="197"/>
      <c r="T80" s="22"/>
      <c r="U80" s="22"/>
      <c r="V80" s="2"/>
      <c r="X80" s="63">
        <f>SUM(X77:X79)</f>
        <v>105400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31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15000</v>
      </c>
      <c r="R118" s="63">
        <f t="shared" si="14"/>
        <v>119600</v>
      </c>
      <c r="S118" s="63"/>
      <c r="T118" s="63">
        <f>SUM(T87:T117)</f>
        <v>623640</v>
      </c>
      <c r="U118" s="63"/>
      <c r="V118" s="63">
        <f>SUM(V87:V117)</f>
        <v>341275</v>
      </c>
      <c r="W118" s="63">
        <f>SUM(W87:W117)</f>
        <v>612660</v>
      </c>
      <c r="X118" s="36">
        <f>SUM(V118:W118)</f>
        <v>953935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P73" sqref="P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166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169</v>
      </c>
      <c r="N6" s="37" t="s">
        <v>140</v>
      </c>
      <c r="O6" s="37" t="s">
        <v>164</v>
      </c>
      <c r="P6" s="30" t="s">
        <v>167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14550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2500+1000</f>
        <v>3500</v>
      </c>
      <c r="S7" s="6">
        <f>C7+D7-R7</f>
        <v>11050</v>
      </c>
      <c r="T7" s="34">
        <v>-9150</v>
      </c>
      <c r="U7" s="6">
        <f>S7+T7</f>
        <v>1900</v>
      </c>
      <c r="V7" s="52"/>
      <c r="W7" s="57"/>
      <c r="X7" s="46"/>
      <c r="Y7" s="65"/>
      <c r="Z7" s="66">
        <f>W7-S7</f>
        <v>-11050</v>
      </c>
      <c r="AA7" s="65"/>
      <c r="AB7" s="67"/>
      <c r="AC7" s="65"/>
      <c r="AD7" s="47"/>
      <c r="AE7" s="61"/>
      <c r="AF7" s="52">
        <f>SUM(Y7:AE7)</f>
        <v>-11050</v>
      </c>
      <c r="AG7" s="46">
        <f>U7+AF7</f>
        <v>-9150</v>
      </c>
      <c r="AH7" s="51">
        <f>AG7-S7</f>
        <v>-20200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35300</v>
      </c>
      <c r="D8" s="6">
        <v>5200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500+5000+2000</f>
        <v>7500</v>
      </c>
      <c r="S8" s="6">
        <f t="shared" ref="S8:S71" si="1">C8+D8-R8</f>
        <v>33000</v>
      </c>
      <c r="T8" s="6">
        <v>-24350</v>
      </c>
      <c r="U8" s="6">
        <f t="shared" ref="U8:U71" si="2">S8+T8</f>
        <v>8650</v>
      </c>
      <c r="V8" s="52"/>
      <c r="W8" s="57"/>
      <c r="X8" s="46"/>
      <c r="Y8" s="61"/>
      <c r="Z8" s="66">
        <f t="shared" ref="Z8:Z71" si="3">W8-S8</f>
        <v>-33000</v>
      </c>
      <c r="AA8" s="61"/>
      <c r="AB8" s="67"/>
      <c r="AC8" s="61"/>
      <c r="AD8" s="66"/>
      <c r="AE8" s="61"/>
      <c r="AF8" s="52">
        <f t="shared" ref="AF8:AF71" si="4">SUM(Y8:AE8)</f>
        <v>-33000</v>
      </c>
      <c r="AG8" s="46">
        <f t="shared" ref="AG8:AG71" si="5">U8+AF8</f>
        <v>-24350</v>
      </c>
      <c r="AH8" s="51">
        <f t="shared" ref="AH8:AH71" si="6">AG8-S8</f>
        <v>-57350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f>12800+100</f>
        <v>12900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1000+1500+6650</f>
        <v>9150</v>
      </c>
      <c r="S11" s="6">
        <f t="shared" si="1"/>
        <v>3750</v>
      </c>
      <c r="T11" s="6">
        <v>-3750</v>
      </c>
      <c r="U11" s="6">
        <f t="shared" si="2"/>
        <v>0</v>
      </c>
      <c r="V11" s="52"/>
      <c r="W11" s="57"/>
      <c r="X11" s="46"/>
      <c r="Y11" s="61"/>
      <c r="Z11" s="66">
        <f t="shared" si="3"/>
        <v>-3750</v>
      </c>
      <c r="AA11" s="61"/>
      <c r="AB11" s="67"/>
      <c r="AC11" s="61"/>
      <c r="AD11" s="66"/>
      <c r="AE11" s="61"/>
      <c r="AF11" s="52">
        <f t="shared" si="4"/>
        <v>-3750</v>
      </c>
      <c r="AG11" s="46">
        <f t="shared" si="5"/>
        <v>-3750</v>
      </c>
      <c r="AH11" s="51">
        <f t="shared" si="6"/>
        <v>-7500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4050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500+2000</f>
        <v>2500</v>
      </c>
      <c r="S12" s="6">
        <f t="shared" si="1"/>
        <v>1550</v>
      </c>
      <c r="T12" s="6">
        <v>4700</v>
      </c>
      <c r="U12" s="6">
        <f t="shared" si="2"/>
        <v>6250</v>
      </c>
      <c r="V12" s="52"/>
      <c r="W12" s="57"/>
      <c r="X12" s="46"/>
      <c r="Y12" s="61"/>
      <c r="Z12" s="66">
        <f t="shared" si="3"/>
        <v>-1550</v>
      </c>
      <c r="AA12" s="61"/>
      <c r="AB12" s="67"/>
      <c r="AC12" s="61"/>
      <c r="AD12" s="66"/>
      <c r="AE12" s="61"/>
      <c r="AF12" s="52">
        <f t="shared" si="4"/>
        <v>-1550</v>
      </c>
      <c r="AG12" s="46">
        <f t="shared" si="5"/>
        <v>4700</v>
      </c>
      <c r="AH12" s="51">
        <f t="shared" si="6"/>
        <v>3150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32960</v>
      </c>
      <c r="D14" s="6">
        <f>2950+10100</f>
        <v>13050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3500+6000+2500+5000+1000+5750+2000</f>
        <v>25750</v>
      </c>
      <c r="S14" s="6">
        <f t="shared" si="1"/>
        <v>20260</v>
      </c>
      <c r="T14" s="6">
        <v>-5760</v>
      </c>
      <c r="U14" s="6">
        <f t="shared" si="2"/>
        <v>14500</v>
      </c>
      <c r="V14" s="52"/>
      <c r="W14" s="57"/>
      <c r="X14" s="46"/>
      <c r="Y14" s="61"/>
      <c r="Z14" s="66">
        <f t="shared" si="3"/>
        <v>-20260</v>
      </c>
      <c r="AA14" s="61"/>
      <c r="AB14" s="66"/>
      <c r="AC14" s="61"/>
      <c r="AD14" s="66"/>
      <c r="AE14" s="61"/>
      <c r="AF14" s="52">
        <f t="shared" si="4"/>
        <v>-20260</v>
      </c>
      <c r="AG14" s="46">
        <f t="shared" si="5"/>
        <v>-5760</v>
      </c>
      <c r="AH14" s="51">
        <f t="shared" si="6"/>
        <v>-26020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f>11900-100</f>
        <v>11800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11800</v>
      </c>
      <c r="T16" s="34">
        <v>-10050</v>
      </c>
      <c r="U16" s="6">
        <f t="shared" si="2"/>
        <v>1750</v>
      </c>
      <c r="V16" s="52"/>
      <c r="W16" s="57"/>
      <c r="X16" s="46"/>
      <c r="Y16" s="61"/>
      <c r="Z16" s="66">
        <f t="shared" si="3"/>
        <v>-11800</v>
      </c>
      <c r="AA16" s="61"/>
      <c r="AB16" s="67"/>
      <c r="AC16" s="61"/>
      <c r="AD16" s="47"/>
      <c r="AE16" s="61"/>
      <c r="AF16" s="52">
        <f t="shared" si="4"/>
        <v>-11800</v>
      </c>
      <c r="AG16" s="46">
        <f t="shared" si="5"/>
        <v>-10050</v>
      </c>
      <c r="AH16" s="51">
        <f t="shared" si="6"/>
        <v>-21850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15800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1000+7350</f>
        <v>8350</v>
      </c>
      <c r="S17" s="6">
        <f t="shared" si="1"/>
        <v>7450</v>
      </c>
      <c r="T17" s="6">
        <v>-5000</v>
      </c>
      <c r="U17" s="6">
        <f t="shared" si="2"/>
        <v>2450</v>
      </c>
      <c r="V17" s="52"/>
      <c r="W17" s="57"/>
      <c r="X17" s="46"/>
      <c r="Y17" s="61"/>
      <c r="Z17" s="66">
        <f t="shared" si="3"/>
        <v>-7450</v>
      </c>
      <c r="AA17" s="61"/>
      <c r="AB17" s="66"/>
      <c r="AC17" s="61"/>
      <c r="AD17" s="66"/>
      <c r="AE17" s="61"/>
      <c r="AF17" s="52">
        <f t="shared" si="4"/>
        <v>-7450</v>
      </c>
      <c r="AG17" s="46">
        <f t="shared" si="5"/>
        <v>-5000</v>
      </c>
      <c r="AH17" s="51">
        <f t="shared" si="6"/>
        <v>-12450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3245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3245</v>
      </c>
      <c r="T20" s="6">
        <v>-1605</v>
      </c>
      <c r="U20" s="6">
        <f t="shared" si="2"/>
        <v>1640</v>
      </c>
      <c r="V20" s="52"/>
      <c r="W20" s="57"/>
      <c r="X20" s="46"/>
      <c r="Y20" s="61"/>
      <c r="Z20" s="66">
        <f t="shared" si="3"/>
        <v>-3245</v>
      </c>
      <c r="AA20" s="61"/>
      <c r="AB20" s="67"/>
      <c r="AC20" s="61"/>
      <c r="AD20" s="66"/>
      <c r="AE20" s="61"/>
      <c r="AF20" s="52">
        <f t="shared" si="4"/>
        <v>-3245</v>
      </c>
      <c r="AG20" s="46">
        <f t="shared" si="5"/>
        <v>-1605</v>
      </c>
      <c r="AH20" s="51">
        <f t="shared" si="6"/>
        <v>-4850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7">
        <f t="shared" si="0"/>
        <v>0</v>
      </c>
      <c r="R22" s="136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7">
        <f t="shared" si="0"/>
        <v>0</v>
      </c>
      <c r="R24" s="136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7">
        <f t="shared" si="0"/>
        <v>0</v>
      </c>
      <c r="R25" s="136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7">
        <f t="shared" si="0"/>
        <v>0</v>
      </c>
      <c r="R26" s="136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7760</v>
      </c>
      <c r="D27" s="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7">
        <f t="shared" si="0"/>
        <v>0</v>
      </c>
      <c r="R27" s="136">
        <v>200</v>
      </c>
      <c r="S27" s="6">
        <f t="shared" si="1"/>
        <v>7560</v>
      </c>
      <c r="T27" s="6">
        <v>-40</v>
      </c>
      <c r="U27" s="6">
        <f t="shared" si="2"/>
        <v>7520</v>
      </c>
      <c r="V27" s="52"/>
      <c r="W27" s="57"/>
      <c r="X27" s="46"/>
      <c r="Y27" s="61"/>
      <c r="Z27" s="66">
        <f t="shared" si="3"/>
        <v>-7560</v>
      </c>
      <c r="AA27" s="61"/>
      <c r="AB27" s="67"/>
      <c r="AC27" s="61"/>
      <c r="AD27" s="66"/>
      <c r="AE27" s="61"/>
      <c r="AF27" s="52">
        <f t="shared" si="4"/>
        <v>-7560</v>
      </c>
      <c r="AG27" s="46">
        <f t="shared" si="5"/>
        <v>-40</v>
      </c>
      <c r="AH27" s="51">
        <f t="shared" si="6"/>
        <v>-7600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6200</v>
      </c>
      <c r="D28" s="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7">
        <f t="shared" si="0"/>
        <v>0</v>
      </c>
      <c r="R28" s="136"/>
      <c r="S28" s="6">
        <f t="shared" si="1"/>
        <v>6200</v>
      </c>
      <c r="T28" s="6">
        <f>-40-100</f>
        <v>-140</v>
      </c>
      <c r="U28" s="6">
        <f t="shared" si="2"/>
        <v>6060</v>
      </c>
      <c r="V28" s="52"/>
      <c r="W28" s="57"/>
      <c r="X28" s="46"/>
      <c r="Y28" s="61"/>
      <c r="Z28" s="66">
        <f t="shared" si="3"/>
        <v>-6200</v>
      </c>
      <c r="AA28" s="61"/>
      <c r="AB28" s="67"/>
      <c r="AC28" s="61"/>
      <c r="AD28" s="66"/>
      <c r="AE28" s="61"/>
      <c r="AF28" s="52">
        <f t="shared" si="4"/>
        <v>-6200</v>
      </c>
      <c r="AG28" s="46">
        <f t="shared" si="5"/>
        <v>-140</v>
      </c>
      <c r="AH28" s="51">
        <f t="shared" si="6"/>
        <v>-6340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4800</v>
      </c>
      <c r="D29" s="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7">
        <f t="shared" si="0"/>
        <v>0</v>
      </c>
      <c r="R29" s="136">
        <v>300</v>
      </c>
      <c r="S29" s="6">
        <f t="shared" si="1"/>
        <v>4500</v>
      </c>
      <c r="T29" s="6">
        <f>860+100</f>
        <v>960</v>
      </c>
      <c r="U29" s="6">
        <f t="shared" si="2"/>
        <v>5460</v>
      </c>
      <c r="V29" s="52"/>
      <c r="W29" s="57"/>
      <c r="X29" s="46"/>
      <c r="Y29" s="61"/>
      <c r="Z29" s="66">
        <f t="shared" si="3"/>
        <v>-4500</v>
      </c>
      <c r="AA29" s="61"/>
      <c r="AB29" s="67"/>
      <c r="AC29" s="61"/>
      <c r="AD29" s="66"/>
      <c r="AE29" s="61"/>
      <c r="AF29" s="52">
        <f t="shared" si="4"/>
        <v>-4500</v>
      </c>
      <c r="AG29" s="46">
        <f t="shared" si="5"/>
        <v>960</v>
      </c>
      <c r="AH29" s="51">
        <f t="shared" si="6"/>
        <v>-3540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7">
        <f t="shared" si="0"/>
        <v>0</v>
      </c>
      <c r="R30" s="136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>
        <v>13240</v>
      </c>
      <c r="Q31" s="7">
        <f t="shared" si="0"/>
        <v>13240</v>
      </c>
      <c r="R31" s="136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29720</v>
      </c>
      <c r="D32" s="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6"/>
      <c r="P32" s="6"/>
      <c r="Q32" s="7">
        <f>SUM(E32:P32)</f>
        <v>0</v>
      </c>
      <c r="R32" s="136"/>
      <c r="S32" s="6">
        <f t="shared" si="1"/>
        <v>29720</v>
      </c>
      <c r="T32" s="6">
        <v>-18280</v>
      </c>
      <c r="U32" s="6">
        <f t="shared" si="2"/>
        <v>11440</v>
      </c>
      <c r="V32" s="52"/>
      <c r="W32" s="57"/>
      <c r="X32" s="46"/>
      <c r="Y32" s="61"/>
      <c r="Z32" s="66">
        <f t="shared" si="3"/>
        <v>-29720</v>
      </c>
      <c r="AA32" s="61"/>
      <c r="AB32" s="67"/>
      <c r="AC32" s="61"/>
      <c r="AD32" s="66"/>
      <c r="AE32" s="61"/>
      <c r="AF32" s="52">
        <f t="shared" si="4"/>
        <v>-29720</v>
      </c>
      <c r="AG32" s="46">
        <f t="shared" si="5"/>
        <v>-18280</v>
      </c>
      <c r="AH32" s="51">
        <f t="shared" si="6"/>
        <v>-48000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7">
        <f t="shared" si="0"/>
        <v>0</v>
      </c>
      <c r="R33" s="136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36"/>
      <c r="F34" s="136"/>
      <c r="G34" s="136"/>
      <c r="H34" s="136"/>
      <c r="I34" s="136"/>
      <c r="J34" s="136"/>
      <c r="K34" s="6"/>
      <c r="L34" s="136"/>
      <c r="M34" s="136"/>
      <c r="N34" s="136"/>
      <c r="O34" s="136"/>
      <c r="P34" s="136"/>
      <c r="Q34" s="7">
        <f t="shared" si="0"/>
        <v>0</v>
      </c>
      <c r="R34" s="136">
        <v>1000</v>
      </c>
      <c r="S34" s="6">
        <f t="shared" si="1"/>
        <v>2860</v>
      </c>
      <c r="T34" s="6">
        <v>2960</v>
      </c>
      <c r="U34" s="6">
        <f t="shared" si="2"/>
        <v>5820</v>
      </c>
      <c r="V34" s="52"/>
      <c r="W34" s="57"/>
      <c r="X34" s="46"/>
      <c r="Y34" s="61"/>
      <c r="Z34" s="66">
        <f t="shared" si="3"/>
        <v>-2860</v>
      </c>
      <c r="AA34" s="61"/>
      <c r="AB34" s="67"/>
      <c r="AC34" s="61"/>
      <c r="AD34" s="66"/>
      <c r="AE34" s="61"/>
      <c r="AF34" s="52">
        <f t="shared" si="4"/>
        <v>-2860</v>
      </c>
      <c r="AG34" s="46">
        <f t="shared" si="5"/>
        <v>2960</v>
      </c>
      <c r="AH34" s="51">
        <f t="shared" si="6"/>
        <v>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36"/>
      <c r="F35" s="136"/>
      <c r="G35" s="136"/>
      <c r="H35" s="136"/>
      <c r="I35" s="136"/>
      <c r="J35" s="136"/>
      <c r="K35" s="6"/>
      <c r="L35" s="136"/>
      <c r="M35" s="136"/>
      <c r="N35" s="136"/>
      <c r="O35" s="136"/>
      <c r="P35" s="136"/>
      <c r="Q35" s="7">
        <f t="shared" si="0"/>
        <v>0</v>
      </c>
      <c r="R35" s="136">
        <v>600</v>
      </c>
      <c r="S35" s="6">
        <f t="shared" si="1"/>
        <v>5220</v>
      </c>
      <c r="T35" s="6">
        <v>-1760</v>
      </c>
      <c r="U35" s="6">
        <f t="shared" si="2"/>
        <v>3460</v>
      </c>
      <c r="V35" s="52"/>
      <c r="W35" s="57"/>
      <c r="X35" s="46"/>
      <c r="Y35" s="61"/>
      <c r="Z35" s="66">
        <f t="shared" si="3"/>
        <v>-5220</v>
      </c>
      <c r="AA35" s="61"/>
      <c r="AB35" s="67"/>
      <c r="AC35" s="61"/>
      <c r="AD35" s="66"/>
      <c r="AE35" s="61"/>
      <c r="AF35" s="52">
        <f t="shared" si="4"/>
        <v>-5220</v>
      </c>
      <c r="AG35" s="46">
        <f t="shared" si="5"/>
        <v>-1760</v>
      </c>
      <c r="AH35" s="51">
        <f t="shared" si="6"/>
        <v>-6980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7">
        <f t="shared" si="0"/>
        <v>0</v>
      </c>
      <c r="R36" s="136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7">
        <f t="shared" si="0"/>
        <v>0</v>
      </c>
      <c r="R37" s="136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1340</v>
      </c>
      <c r="D38" s="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7">
        <f>SUM(E38:P38)</f>
        <v>0</v>
      </c>
      <c r="R38" s="136"/>
      <c r="S38" s="6">
        <f t="shared" si="1"/>
        <v>1340</v>
      </c>
      <c r="T38" s="6">
        <v>-1340</v>
      </c>
      <c r="U38" s="6">
        <f t="shared" si="2"/>
        <v>0</v>
      </c>
      <c r="V38" s="52"/>
      <c r="W38" s="57"/>
      <c r="X38" s="46"/>
      <c r="Y38" s="61"/>
      <c r="Z38" s="66">
        <f t="shared" si="3"/>
        <v>-1340</v>
      </c>
      <c r="AA38" s="61"/>
      <c r="AB38" s="64"/>
      <c r="AC38" s="61"/>
      <c r="AD38" s="66"/>
      <c r="AE38" s="61"/>
      <c r="AF38" s="52">
        <f t="shared" si="4"/>
        <v>-1340</v>
      </c>
      <c r="AG38" s="46">
        <f t="shared" si="5"/>
        <v>-1340</v>
      </c>
      <c r="AH38" s="51">
        <f t="shared" si="6"/>
        <v>-2680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36"/>
      <c r="F39" s="136"/>
      <c r="G39" s="136"/>
      <c r="H39" s="136"/>
      <c r="I39" s="136"/>
      <c r="J39" s="136"/>
      <c r="K39" s="136">
        <v>12000</v>
      </c>
      <c r="L39" s="136"/>
      <c r="M39" s="136"/>
      <c r="N39" s="136"/>
      <c r="O39" s="136"/>
      <c r="P39" s="136"/>
      <c r="Q39" s="7">
        <f>SUM(E39:P39)</f>
        <v>12000</v>
      </c>
      <c r="R39" s="136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10820</v>
      </c>
      <c r="D40" s="6"/>
      <c r="E40" s="136"/>
      <c r="F40" s="136"/>
      <c r="G40" s="136"/>
      <c r="H40" s="27"/>
      <c r="I40" s="136"/>
      <c r="J40" s="136"/>
      <c r="K40" s="136"/>
      <c r="L40" s="136"/>
      <c r="M40" s="136"/>
      <c r="N40" s="136"/>
      <c r="O40" s="136"/>
      <c r="P40" s="136"/>
      <c r="Q40" s="7">
        <f>SUM(E40:P40)</f>
        <v>0</v>
      </c>
      <c r="R40" s="136"/>
      <c r="S40" s="6">
        <f t="shared" si="1"/>
        <v>10820</v>
      </c>
      <c r="T40" s="6">
        <f>-10260+40</f>
        <v>-10220</v>
      </c>
      <c r="U40" s="6">
        <f t="shared" si="2"/>
        <v>600</v>
      </c>
      <c r="V40" s="52"/>
      <c r="W40" s="57"/>
      <c r="X40" s="46"/>
      <c r="Y40" s="61"/>
      <c r="Z40" s="66">
        <f t="shared" si="3"/>
        <v>-10820</v>
      </c>
      <c r="AA40" s="61"/>
      <c r="AB40" s="67"/>
      <c r="AC40" s="61"/>
      <c r="AD40" s="66"/>
      <c r="AE40" s="61"/>
      <c r="AF40" s="52">
        <f t="shared" si="4"/>
        <v>-10820</v>
      </c>
      <c r="AG40" s="46">
        <f t="shared" si="5"/>
        <v>-10220</v>
      </c>
      <c r="AH40" s="51">
        <f t="shared" si="6"/>
        <v>-21040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7">
        <f>SUM(E41:P41)</f>
        <v>0</v>
      </c>
      <c r="R41" s="136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7">
        <f>SUM(E42:P42)</f>
        <v>0</v>
      </c>
      <c r="R42" s="136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7">
        <f t="shared" si="0"/>
        <v>0</v>
      </c>
      <c r="R44" s="136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7">
        <f t="shared" si="0"/>
        <v>0</v>
      </c>
      <c r="R45" s="136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7">
        <f t="shared" si="0"/>
        <v>0</v>
      </c>
      <c r="R46" s="136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7">
        <f t="shared" si="0"/>
        <v>0</v>
      </c>
      <c r="R47" s="136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7">
        <f t="shared" si="0"/>
        <v>0</v>
      </c>
      <c r="R48" s="136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7">
        <f t="shared" si="0"/>
        <v>0</v>
      </c>
      <c r="R49" s="136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12300</v>
      </c>
      <c r="D50" s="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7">
        <f t="shared" si="0"/>
        <v>0</v>
      </c>
      <c r="R50" s="136">
        <f>250+400</f>
        <v>650</v>
      </c>
      <c r="S50" s="6">
        <f t="shared" si="1"/>
        <v>11650</v>
      </c>
      <c r="T50" s="6">
        <f>-12000+8615</f>
        <v>-3385</v>
      </c>
      <c r="U50" s="6">
        <f t="shared" si="2"/>
        <v>8265</v>
      </c>
      <c r="V50" s="52"/>
      <c r="W50" s="57"/>
      <c r="X50" s="46"/>
      <c r="Y50" s="61"/>
      <c r="Z50" s="66">
        <f t="shared" si="3"/>
        <v>-11650</v>
      </c>
      <c r="AA50" s="61"/>
      <c r="AB50" s="64"/>
      <c r="AC50" s="61"/>
      <c r="AD50" s="66"/>
      <c r="AE50" s="61"/>
      <c r="AF50" s="52">
        <f t="shared" si="4"/>
        <v>-11650</v>
      </c>
      <c r="AG50" s="46">
        <f t="shared" si="5"/>
        <v>-3385</v>
      </c>
      <c r="AH50" s="51">
        <f t="shared" si="6"/>
        <v>-15035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7">
        <f t="shared" si="0"/>
        <v>0</v>
      </c>
      <c r="R51" s="136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7">
        <f t="shared" si="0"/>
        <v>0</v>
      </c>
      <c r="R52" s="136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7">
        <f t="shared" si="0"/>
        <v>0</v>
      </c>
      <c r="R53" s="136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7">
        <f t="shared" si="0"/>
        <v>0</v>
      </c>
      <c r="R54" s="136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7">
        <f t="shared" si="0"/>
        <v>0</v>
      </c>
      <c r="R55" s="136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7">
        <f>SUM(E56:P56)</f>
        <v>0</v>
      </c>
      <c r="R56" s="136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7">
        <f t="shared" si="0"/>
        <v>0</v>
      </c>
      <c r="R61" s="136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7">
        <f t="shared" si="0"/>
        <v>0</v>
      </c>
      <c r="R62" s="135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7">
        <f t="shared" si="0"/>
        <v>0</v>
      </c>
      <c r="R63" s="135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7">
        <f t="shared" si="0"/>
        <v>0</v>
      </c>
      <c r="R64" s="135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35">
        <v>1975</v>
      </c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7">
        <f t="shared" si="0"/>
        <v>0</v>
      </c>
      <c r="R65" s="135"/>
      <c r="S65" s="6">
        <f t="shared" si="1"/>
        <v>2675</v>
      </c>
      <c r="T65" s="6">
        <v>-700</v>
      </c>
      <c r="U65" s="6">
        <f t="shared" si="2"/>
        <v>1975</v>
      </c>
      <c r="V65" s="52"/>
      <c r="W65" s="57"/>
      <c r="X65" s="46"/>
      <c r="Y65" s="61"/>
      <c r="Z65" s="66">
        <f t="shared" si="3"/>
        <v>-2675</v>
      </c>
      <c r="AA65" s="61"/>
      <c r="AB65" s="67"/>
      <c r="AC65" s="61"/>
      <c r="AD65" s="66"/>
      <c r="AE65" s="61"/>
      <c r="AF65" s="52">
        <f t="shared" si="4"/>
        <v>-2675</v>
      </c>
      <c r="AG65" s="46">
        <f t="shared" si="5"/>
        <v>-700</v>
      </c>
      <c r="AH65" s="51">
        <f t="shared" si="6"/>
        <v>-3375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37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2925</v>
      </c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7">
        <f t="shared" si="0"/>
        <v>0</v>
      </c>
      <c r="R67" s="136">
        <v>1000</v>
      </c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7">
        <f t="shared" si="0"/>
        <v>0</v>
      </c>
      <c r="R68" s="136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31825</v>
      </c>
      <c r="D69" s="136">
        <v>6000</v>
      </c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7">
        <f t="shared" si="0"/>
        <v>0</v>
      </c>
      <c r="R69" s="136">
        <f>7000+350+250+750+500+3000</f>
        <v>11850</v>
      </c>
      <c r="S69" s="6">
        <f t="shared" si="1"/>
        <v>25975</v>
      </c>
      <c r="T69" s="6">
        <v>-16950</v>
      </c>
      <c r="U69" s="6">
        <f t="shared" si="2"/>
        <v>9025</v>
      </c>
      <c r="V69" s="52"/>
      <c r="W69" s="57"/>
      <c r="X69" s="46"/>
      <c r="Y69" s="61"/>
      <c r="Z69" s="66">
        <f t="shared" si="3"/>
        <v>-25975</v>
      </c>
      <c r="AA69" s="61"/>
      <c r="AB69" s="64"/>
      <c r="AC69" s="61"/>
      <c r="AD69" s="66"/>
      <c r="AE69" s="61"/>
      <c r="AF69" s="52">
        <f t="shared" si="4"/>
        <v>-25975</v>
      </c>
      <c r="AG69" s="46">
        <f t="shared" si="5"/>
        <v>-16950</v>
      </c>
      <c r="AH69" s="51">
        <f t="shared" si="6"/>
        <v>-42925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18600</v>
      </c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7">
        <f t="shared" si="0"/>
        <v>0</v>
      </c>
      <c r="R70" s="136">
        <v>4000</v>
      </c>
      <c r="S70" s="6">
        <f t="shared" si="1"/>
        <v>14600</v>
      </c>
      <c r="T70" s="6">
        <v>-9425</v>
      </c>
      <c r="U70" s="6">
        <f t="shared" si="2"/>
        <v>5175</v>
      </c>
      <c r="V70" s="52"/>
      <c r="W70" s="57"/>
      <c r="X70" s="46"/>
      <c r="Y70" s="61"/>
      <c r="Z70" s="66">
        <f t="shared" si="3"/>
        <v>-14600</v>
      </c>
      <c r="AA70" s="61"/>
      <c r="AB70" s="67"/>
      <c r="AC70" s="61"/>
      <c r="AD70" s="66"/>
      <c r="AE70" s="61"/>
      <c r="AF70" s="52">
        <f t="shared" si="4"/>
        <v>-14600</v>
      </c>
      <c r="AG70" s="46">
        <f t="shared" si="5"/>
        <v>-9425</v>
      </c>
      <c r="AH70" s="51">
        <f t="shared" si="6"/>
        <v>-24025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46275</v>
      </c>
      <c r="D71" s="136">
        <v>2100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7">
        <f t="shared" si="0"/>
        <v>0</v>
      </c>
      <c r="R71" s="136">
        <f>8000+1000+1500+1925+1000+2750</f>
        <v>16175</v>
      </c>
      <c r="S71" s="6">
        <f t="shared" si="1"/>
        <v>32200</v>
      </c>
      <c r="T71" s="6">
        <v>-27500</v>
      </c>
      <c r="U71" s="6">
        <f t="shared" si="2"/>
        <v>4700</v>
      </c>
      <c r="V71" s="52"/>
      <c r="W71" s="57"/>
      <c r="X71" s="46"/>
      <c r="Y71" s="61"/>
      <c r="Z71" s="66">
        <f t="shared" si="3"/>
        <v>-32200</v>
      </c>
      <c r="AA71" s="61"/>
      <c r="AB71" s="64"/>
      <c r="AC71" s="61"/>
      <c r="AD71" s="66"/>
      <c r="AE71" s="61"/>
      <c r="AF71" s="52">
        <f t="shared" si="4"/>
        <v>-32200</v>
      </c>
      <c r="AG71" s="46">
        <f t="shared" si="5"/>
        <v>-27500</v>
      </c>
      <c r="AH71" s="51">
        <f t="shared" si="6"/>
        <v>-59700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36">
        <f>SUM(C7:C72)</f>
        <v>477465</v>
      </c>
      <c r="D73" s="136">
        <f t="shared" ref="D73:V73" si="11">SUM(D7:D72)</f>
        <v>28325</v>
      </c>
      <c r="E73" s="136">
        <f t="shared" si="11"/>
        <v>0</v>
      </c>
      <c r="F73" s="136">
        <f t="shared" si="11"/>
        <v>0</v>
      </c>
      <c r="G73" s="136">
        <f t="shared" si="11"/>
        <v>0</v>
      </c>
      <c r="H73" s="27">
        <f t="shared" si="11"/>
        <v>0</v>
      </c>
      <c r="I73" s="136">
        <f t="shared" si="11"/>
        <v>0</v>
      </c>
      <c r="J73" s="136">
        <f t="shared" si="11"/>
        <v>0</v>
      </c>
      <c r="K73" s="136">
        <f t="shared" si="11"/>
        <v>12000</v>
      </c>
      <c r="L73" s="136">
        <f t="shared" si="11"/>
        <v>0</v>
      </c>
      <c r="M73" s="136">
        <f t="shared" si="11"/>
        <v>0</v>
      </c>
      <c r="N73" s="136">
        <f t="shared" si="11"/>
        <v>0</v>
      </c>
      <c r="O73" s="136">
        <f t="shared" si="11"/>
        <v>0</v>
      </c>
      <c r="P73" s="136">
        <f t="shared" si="11"/>
        <v>13240</v>
      </c>
      <c r="Q73" s="136">
        <f t="shared" si="11"/>
        <v>25240</v>
      </c>
      <c r="R73" s="136">
        <f t="shared" si="11"/>
        <v>92525</v>
      </c>
      <c r="S73" s="136">
        <f t="shared" si="11"/>
        <v>413265</v>
      </c>
      <c r="T73" s="136">
        <f t="shared" si="11"/>
        <v>-286670</v>
      </c>
      <c r="U73" s="136">
        <f t="shared" si="11"/>
        <v>126595</v>
      </c>
      <c r="V73" s="136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-413265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-413265</v>
      </c>
      <c r="AG73" s="43">
        <f t="shared" si="12"/>
        <v>-286670</v>
      </c>
      <c r="AH73" s="43">
        <f t="shared" si="12"/>
        <v>-699935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25240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19040+34230+16185+52765+57455+19000+30150+15160+25540+49550+7100+5800+13240+9300</f>
        <v>354515</v>
      </c>
      <c r="S74" s="211"/>
      <c r="T74" s="212">
        <f>R74+R75</f>
        <v>995500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28325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</f>
        <v>640985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92525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</f>
        <v>716165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</f>
        <v>134900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143900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17275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36290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572265</v>
      </c>
      <c r="S80" s="197"/>
      <c r="T80" s="22"/>
      <c r="U80" s="22"/>
      <c r="V80" s="2"/>
      <c r="X80" s="63">
        <f>SUM(X77:X79)</f>
        <v>53565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38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15000</v>
      </c>
      <c r="R118" s="63">
        <f t="shared" si="14"/>
        <v>131600</v>
      </c>
      <c r="S118" s="63"/>
      <c r="T118" s="63">
        <f>SUM(T87:T117)</f>
        <v>716165</v>
      </c>
      <c r="U118" s="63"/>
      <c r="V118" s="63">
        <f>SUM(V87:V117)</f>
        <v>366515</v>
      </c>
      <c r="W118" s="63">
        <f>SUM(W87:W117)</f>
        <v>640985</v>
      </c>
      <c r="X118" s="36">
        <f>SUM(V118:W118)</f>
        <v>1007500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3" activePane="bottomRight" state="frozen"/>
      <selection activeCell="O32" sqref="O32"/>
      <selection pane="topRight" activeCell="O32" sqref="O32"/>
      <selection pane="bottomLeft" activeCell="O32" sqref="O32"/>
      <selection pane="bottomRight" activeCell="E74" sqref="E74:Q74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168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171</v>
      </c>
      <c r="P6" s="30" t="s">
        <v>167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11050</v>
      </c>
      <c r="D7" s="6"/>
      <c r="E7" s="6"/>
      <c r="F7" s="6"/>
      <c r="G7" s="6"/>
      <c r="H7" s="6"/>
      <c r="I7" s="6"/>
      <c r="J7" s="6"/>
      <c r="K7" s="6"/>
      <c r="L7" s="6"/>
      <c r="M7" s="6">
        <v>1000</v>
      </c>
      <c r="N7" s="6"/>
      <c r="O7" s="6"/>
      <c r="P7" s="6"/>
      <c r="Q7" s="7">
        <f t="shared" ref="Q7:Q71" si="0">SUM(E7:P7)</f>
        <v>1000</v>
      </c>
      <c r="R7" s="6">
        <v>900</v>
      </c>
      <c r="S7" s="6">
        <f>C7+D7-R7</f>
        <v>10150</v>
      </c>
      <c r="T7" s="34">
        <v>-9150</v>
      </c>
      <c r="U7" s="6">
        <f>S7+T7</f>
        <v>1000</v>
      </c>
      <c r="V7" s="52"/>
      <c r="W7" s="57"/>
      <c r="X7" s="46"/>
      <c r="Y7" s="65"/>
      <c r="Z7" s="66">
        <f>W7-S7</f>
        <v>-10150</v>
      </c>
      <c r="AA7" s="65"/>
      <c r="AB7" s="67"/>
      <c r="AC7" s="65"/>
      <c r="AD7" s="47"/>
      <c r="AE7" s="61"/>
      <c r="AF7" s="52">
        <f>SUM(Y7:AE7)</f>
        <v>-10150</v>
      </c>
      <c r="AG7" s="46">
        <f>U7+AF7</f>
        <v>-9150</v>
      </c>
      <c r="AH7" s="51">
        <f>AG7-S7</f>
        <v>-19300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33000</v>
      </c>
      <c r="D8" s="6"/>
      <c r="E8" s="6"/>
      <c r="F8" s="6"/>
      <c r="G8" s="6">
        <v>8000</v>
      </c>
      <c r="H8" s="6"/>
      <c r="I8" s="6"/>
      <c r="J8" s="6"/>
      <c r="K8" s="6"/>
      <c r="L8" s="6"/>
      <c r="M8" s="6">
        <v>1000</v>
      </c>
      <c r="N8" s="6"/>
      <c r="O8" s="6"/>
      <c r="P8" s="6"/>
      <c r="Q8" s="7">
        <f t="shared" si="0"/>
        <v>9000</v>
      </c>
      <c r="R8" s="6">
        <v>3100</v>
      </c>
      <c r="S8" s="6">
        <f t="shared" ref="S8:S71" si="1">C8+D8-R8</f>
        <v>29900</v>
      </c>
      <c r="T8" s="6">
        <v>-24350</v>
      </c>
      <c r="U8" s="6">
        <f t="shared" ref="U8:U71" si="2">S8+T8</f>
        <v>5550</v>
      </c>
      <c r="V8" s="52"/>
      <c r="W8" s="57"/>
      <c r="X8" s="46"/>
      <c r="Y8" s="61"/>
      <c r="Z8" s="66">
        <f t="shared" ref="Z8:Z71" si="3">W8-S8</f>
        <v>-29900</v>
      </c>
      <c r="AA8" s="61"/>
      <c r="AB8" s="67"/>
      <c r="AC8" s="61"/>
      <c r="AD8" s="66"/>
      <c r="AE8" s="61"/>
      <c r="AF8" s="52">
        <f t="shared" ref="AF8:AF71" si="4">SUM(Y8:AE8)</f>
        <v>-29900</v>
      </c>
      <c r="AG8" s="46">
        <f t="shared" ref="AG8:AG71" si="5">U8+AF8</f>
        <v>-24350</v>
      </c>
      <c r="AH8" s="51">
        <f t="shared" ref="AH8:AH71" si="6">AG8-S8</f>
        <v>-54250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>
        <v>6000</v>
      </c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6000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3750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3750</v>
      </c>
      <c r="T11" s="6">
        <v>-3750</v>
      </c>
      <c r="U11" s="6">
        <f t="shared" si="2"/>
        <v>0</v>
      </c>
      <c r="V11" s="52"/>
      <c r="W11" s="57"/>
      <c r="X11" s="46"/>
      <c r="Y11" s="61"/>
      <c r="Z11" s="66">
        <f t="shared" si="3"/>
        <v>-3750</v>
      </c>
      <c r="AA11" s="61"/>
      <c r="AB11" s="67"/>
      <c r="AC11" s="61"/>
      <c r="AD11" s="66"/>
      <c r="AE11" s="61"/>
      <c r="AF11" s="52">
        <f t="shared" si="4"/>
        <v>-3750</v>
      </c>
      <c r="AG11" s="46">
        <f t="shared" si="5"/>
        <v>-3750</v>
      </c>
      <c r="AH11" s="51">
        <f t="shared" si="6"/>
        <v>-7500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1550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1550</v>
      </c>
      <c r="T12" s="6">
        <v>4700</v>
      </c>
      <c r="U12" s="6">
        <f t="shared" si="2"/>
        <v>6250</v>
      </c>
      <c r="V12" s="52"/>
      <c r="W12" s="57"/>
      <c r="X12" s="46"/>
      <c r="Y12" s="61"/>
      <c r="Z12" s="66">
        <f t="shared" si="3"/>
        <v>-1550</v>
      </c>
      <c r="AA12" s="61"/>
      <c r="AB12" s="67"/>
      <c r="AC12" s="61"/>
      <c r="AD12" s="66"/>
      <c r="AE12" s="61"/>
      <c r="AF12" s="52">
        <f t="shared" si="4"/>
        <v>-1550</v>
      </c>
      <c r="AG12" s="46">
        <f t="shared" si="5"/>
        <v>4700</v>
      </c>
      <c r="AH12" s="51">
        <f t="shared" si="6"/>
        <v>3150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20260</v>
      </c>
      <c r="D14" s="6">
        <v>7000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1600+6000</f>
        <v>7600</v>
      </c>
      <c r="S14" s="6">
        <f t="shared" si="1"/>
        <v>19660</v>
      </c>
      <c r="T14" s="6">
        <v>-5760</v>
      </c>
      <c r="U14" s="6">
        <f t="shared" si="2"/>
        <v>13900</v>
      </c>
      <c r="V14" s="52"/>
      <c r="W14" s="57"/>
      <c r="X14" s="46"/>
      <c r="Y14" s="61"/>
      <c r="Z14" s="66">
        <f t="shared" si="3"/>
        <v>-19660</v>
      </c>
      <c r="AA14" s="61"/>
      <c r="AB14" s="66"/>
      <c r="AC14" s="61"/>
      <c r="AD14" s="66"/>
      <c r="AE14" s="61"/>
      <c r="AF14" s="52">
        <f t="shared" si="4"/>
        <v>-19660</v>
      </c>
      <c r="AG14" s="46">
        <f t="shared" si="5"/>
        <v>-5760</v>
      </c>
      <c r="AH14" s="51">
        <f t="shared" si="6"/>
        <v>-25420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11800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1400</v>
      </c>
      <c r="S16" s="6">
        <f t="shared" si="1"/>
        <v>10400</v>
      </c>
      <c r="T16" s="34">
        <v>-10050</v>
      </c>
      <c r="U16" s="6">
        <f t="shared" si="2"/>
        <v>350</v>
      </c>
      <c r="V16" s="52"/>
      <c r="W16" s="57"/>
      <c r="X16" s="46"/>
      <c r="Y16" s="61"/>
      <c r="Z16" s="66">
        <f t="shared" si="3"/>
        <v>-10400</v>
      </c>
      <c r="AA16" s="61"/>
      <c r="AB16" s="67"/>
      <c r="AC16" s="61"/>
      <c r="AD16" s="47"/>
      <c r="AE16" s="61"/>
      <c r="AF16" s="52">
        <f t="shared" si="4"/>
        <v>-10400</v>
      </c>
      <c r="AG16" s="46">
        <f t="shared" si="5"/>
        <v>-10050</v>
      </c>
      <c r="AH16" s="51">
        <f t="shared" si="6"/>
        <v>-20450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7450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7450</v>
      </c>
      <c r="T17" s="6">
        <v>-5000</v>
      </c>
      <c r="U17" s="6">
        <f t="shared" si="2"/>
        <v>2450</v>
      </c>
      <c r="V17" s="52"/>
      <c r="W17" s="57"/>
      <c r="X17" s="46"/>
      <c r="Y17" s="61"/>
      <c r="Z17" s="66">
        <f t="shared" si="3"/>
        <v>-7450</v>
      </c>
      <c r="AA17" s="61"/>
      <c r="AB17" s="66"/>
      <c r="AC17" s="61"/>
      <c r="AD17" s="66"/>
      <c r="AE17" s="61"/>
      <c r="AF17" s="52">
        <f t="shared" si="4"/>
        <v>-7450</v>
      </c>
      <c r="AG17" s="46">
        <f t="shared" si="5"/>
        <v>-5000</v>
      </c>
      <c r="AH17" s="51">
        <f t="shared" si="6"/>
        <v>-12450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>
        <v>1250</v>
      </c>
      <c r="Q19" s="7">
        <f t="shared" si="0"/>
        <v>1250</v>
      </c>
      <c r="R19" s="13"/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3245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3245</v>
      </c>
      <c r="T20" s="6">
        <v>-1605</v>
      </c>
      <c r="U20" s="6">
        <f t="shared" si="2"/>
        <v>1640</v>
      </c>
      <c r="V20" s="52"/>
      <c r="W20" s="57"/>
      <c r="X20" s="46"/>
      <c r="Y20" s="61"/>
      <c r="Z20" s="66">
        <f t="shared" si="3"/>
        <v>-3245</v>
      </c>
      <c r="AA20" s="61"/>
      <c r="AB20" s="67"/>
      <c r="AC20" s="61"/>
      <c r="AD20" s="66"/>
      <c r="AE20" s="61"/>
      <c r="AF20" s="52">
        <f t="shared" si="4"/>
        <v>-3245</v>
      </c>
      <c r="AG20" s="46">
        <f t="shared" si="5"/>
        <v>-1605</v>
      </c>
      <c r="AH20" s="51">
        <f t="shared" si="6"/>
        <v>-4850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f>2140+140</f>
        <v>2280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>
        <v>1000</v>
      </c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7">
        <f t="shared" si="0"/>
        <v>0</v>
      </c>
      <c r="R22" s="142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7">
        <f t="shared" si="0"/>
        <v>0</v>
      </c>
      <c r="R24" s="142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7">
        <f t="shared" si="0"/>
        <v>0</v>
      </c>
      <c r="R25" s="142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7">
        <f t="shared" si="0"/>
        <v>0</v>
      </c>
      <c r="R26" s="142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7560</v>
      </c>
      <c r="D27" s="6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7">
        <f t="shared" si="0"/>
        <v>0</v>
      </c>
      <c r="R27" s="142">
        <v>2000</v>
      </c>
      <c r="S27" s="6">
        <f t="shared" si="1"/>
        <v>5560</v>
      </c>
      <c r="T27" s="6">
        <v>-40</v>
      </c>
      <c r="U27" s="6">
        <f t="shared" si="2"/>
        <v>5520</v>
      </c>
      <c r="V27" s="52"/>
      <c r="W27" s="57"/>
      <c r="X27" s="46"/>
      <c r="Y27" s="61"/>
      <c r="Z27" s="66">
        <f t="shared" si="3"/>
        <v>-5560</v>
      </c>
      <c r="AA27" s="61"/>
      <c r="AB27" s="67"/>
      <c r="AC27" s="61"/>
      <c r="AD27" s="66"/>
      <c r="AE27" s="61"/>
      <c r="AF27" s="52">
        <f t="shared" si="4"/>
        <v>-5560</v>
      </c>
      <c r="AG27" s="46">
        <f t="shared" si="5"/>
        <v>-40</v>
      </c>
      <c r="AH27" s="51">
        <f t="shared" si="6"/>
        <v>-5600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6200</v>
      </c>
      <c r="D28" s="6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7">
        <f t="shared" si="0"/>
        <v>0</v>
      </c>
      <c r="R28" s="142">
        <v>1000</v>
      </c>
      <c r="S28" s="6">
        <f t="shared" si="1"/>
        <v>5200</v>
      </c>
      <c r="T28" s="6">
        <f>-40-100</f>
        <v>-140</v>
      </c>
      <c r="U28" s="6">
        <f t="shared" si="2"/>
        <v>5060</v>
      </c>
      <c r="V28" s="52"/>
      <c r="W28" s="57"/>
      <c r="X28" s="46"/>
      <c r="Y28" s="61"/>
      <c r="Z28" s="66">
        <f t="shared" si="3"/>
        <v>-5200</v>
      </c>
      <c r="AA28" s="61"/>
      <c r="AB28" s="67"/>
      <c r="AC28" s="61"/>
      <c r="AD28" s="66"/>
      <c r="AE28" s="61"/>
      <c r="AF28" s="52">
        <f t="shared" si="4"/>
        <v>-5200</v>
      </c>
      <c r="AG28" s="46">
        <f t="shared" si="5"/>
        <v>-140</v>
      </c>
      <c r="AH28" s="51">
        <f t="shared" si="6"/>
        <v>-5340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4500</v>
      </c>
      <c r="D29" s="6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7">
        <f t="shared" si="0"/>
        <v>0</v>
      </c>
      <c r="R29" s="142">
        <v>1000</v>
      </c>
      <c r="S29" s="6">
        <f t="shared" si="1"/>
        <v>3500</v>
      </c>
      <c r="T29" s="6">
        <f>860+100</f>
        <v>960</v>
      </c>
      <c r="U29" s="6">
        <f t="shared" si="2"/>
        <v>4460</v>
      </c>
      <c r="V29" s="52"/>
      <c r="W29" s="57"/>
      <c r="X29" s="46"/>
      <c r="Y29" s="61"/>
      <c r="Z29" s="66">
        <f t="shared" si="3"/>
        <v>-3500</v>
      </c>
      <c r="AA29" s="61"/>
      <c r="AB29" s="67"/>
      <c r="AC29" s="61"/>
      <c r="AD29" s="66"/>
      <c r="AE29" s="61"/>
      <c r="AF29" s="52">
        <f t="shared" si="4"/>
        <v>-3500</v>
      </c>
      <c r="AG29" s="46">
        <f t="shared" si="5"/>
        <v>960</v>
      </c>
      <c r="AH29" s="51">
        <f t="shared" si="6"/>
        <v>-2540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7">
        <f t="shared" si="0"/>
        <v>0</v>
      </c>
      <c r="R30" s="142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>
        <v>1530</v>
      </c>
      <c r="Q31" s="7">
        <f t="shared" si="0"/>
        <v>1530</v>
      </c>
      <c r="R31" s="142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29720</v>
      </c>
      <c r="D32" s="6"/>
      <c r="E32" s="142"/>
      <c r="F32" s="142"/>
      <c r="G32" s="142"/>
      <c r="H32" s="142"/>
      <c r="I32" s="142"/>
      <c r="J32" s="142"/>
      <c r="K32" s="142"/>
      <c r="L32" s="142"/>
      <c r="M32" s="142">
        <v>2000</v>
      </c>
      <c r="N32" s="142"/>
      <c r="O32" s="6"/>
      <c r="P32" s="6"/>
      <c r="Q32" s="7">
        <f>SUM(E32:P32)</f>
        <v>2000</v>
      </c>
      <c r="R32" s="142"/>
      <c r="S32" s="6">
        <f t="shared" si="1"/>
        <v>29720</v>
      </c>
      <c r="T32" s="6">
        <v>-18280</v>
      </c>
      <c r="U32" s="6">
        <f t="shared" si="2"/>
        <v>11440</v>
      </c>
      <c r="V32" s="52"/>
      <c r="W32" s="57"/>
      <c r="X32" s="46"/>
      <c r="Y32" s="61"/>
      <c r="Z32" s="66">
        <f t="shared" si="3"/>
        <v>-29720</v>
      </c>
      <c r="AA32" s="61"/>
      <c r="AB32" s="67"/>
      <c r="AC32" s="61"/>
      <c r="AD32" s="66"/>
      <c r="AE32" s="61"/>
      <c r="AF32" s="52">
        <f t="shared" si="4"/>
        <v>-29720</v>
      </c>
      <c r="AG32" s="46">
        <f t="shared" si="5"/>
        <v>-18280</v>
      </c>
      <c r="AH32" s="51">
        <f t="shared" si="6"/>
        <v>-48000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7">
        <f t="shared" si="0"/>
        <v>0</v>
      </c>
      <c r="R33" s="142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2860</v>
      </c>
      <c r="D34" s="6"/>
      <c r="E34" s="142"/>
      <c r="F34" s="142"/>
      <c r="G34" s="142"/>
      <c r="H34" s="142"/>
      <c r="I34" s="142"/>
      <c r="J34" s="142"/>
      <c r="K34" s="6"/>
      <c r="L34" s="142"/>
      <c r="M34" s="142">
        <v>5000</v>
      </c>
      <c r="N34" s="142"/>
      <c r="O34" s="142"/>
      <c r="P34" s="142"/>
      <c r="Q34" s="7">
        <f t="shared" si="0"/>
        <v>5000</v>
      </c>
      <c r="R34" s="142"/>
      <c r="S34" s="6">
        <f t="shared" si="1"/>
        <v>2860</v>
      </c>
      <c r="T34" s="6">
        <v>2960</v>
      </c>
      <c r="U34" s="6">
        <f t="shared" si="2"/>
        <v>5820</v>
      </c>
      <c r="V34" s="52"/>
      <c r="W34" s="57"/>
      <c r="X34" s="46"/>
      <c r="Y34" s="61"/>
      <c r="Z34" s="66">
        <f t="shared" si="3"/>
        <v>-2860</v>
      </c>
      <c r="AA34" s="61"/>
      <c r="AB34" s="67"/>
      <c r="AC34" s="61"/>
      <c r="AD34" s="66"/>
      <c r="AE34" s="61"/>
      <c r="AF34" s="52">
        <f t="shared" si="4"/>
        <v>-2860</v>
      </c>
      <c r="AG34" s="46">
        <f t="shared" si="5"/>
        <v>2960</v>
      </c>
      <c r="AH34" s="51">
        <f t="shared" si="6"/>
        <v>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5220</v>
      </c>
      <c r="D35" s="6"/>
      <c r="E35" s="142"/>
      <c r="F35" s="142"/>
      <c r="G35" s="142"/>
      <c r="H35" s="142"/>
      <c r="I35" s="142"/>
      <c r="J35" s="142"/>
      <c r="K35" s="6"/>
      <c r="L35" s="142"/>
      <c r="M35" s="142">
        <v>3000</v>
      </c>
      <c r="N35" s="142"/>
      <c r="O35" s="142"/>
      <c r="P35" s="142"/>
      <c r="Q35" s="7">
        <f t="shared" si="0"/>
        <v>3000</v>
      </c>
      <c r="R35" s="142"/>
      <c r="S35" s="6">
        <f t="shared" si="1"/>
        <v>5220</v>
      </c>
      <c r="T35" s="6">
        <v>-1760</v>
      </c>
      <c r="U35" s="6">
        <f t="shared" si="2"/>
        <v>3460</v>
      </c>
      <c r="V35" s="52"/>
      <c r="W35" s="57"/>
      <c r="X35" s="46"/>
      <c r="Y35" s="61"/>
      <c r="Z35" s="66">
        <f t="shared" si="3"/>
        <v>-5220</v>
      </c>
      <c r="AA35" s="61"/>
      <c r="AB35" s="67"/>
      <c r="AC35" s="61"/>
      <c r="AD35" s="66"/>
      <c r="AE35" s="61"/>
      <c r="AF35" s="52">
        <f t="shared" si="4"/>
        <v>-5220</v>
      </c>
      <c r="AG35" s="46">
        <f t="shared" si="5"/>
        <v>-1760</v>
      </c>
      <c r="AH35" s="51">
        <f t="shared" si="6"/>
        <v>-6980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7">
        <f t="shared" si="0"/>
        <v>0</v>
      </c>
      <c r="R36" s="142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7">
        <f t="shared" si="0"/>
        <v>0</v>
      </c>
      <c r="R37" s="142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1340</v>
      </c>
      <c r="D38" s="6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7">
        <f>SUM(E38:P38)</f>
        <v>0</v>
      </c>
      <c r="R38" s="142"/>
      <c r="S38" s="6">
        <f t="shared" si="1"/>
        <v>1340</v>
      </c>
      <c r="T38" s="6">
        <v>-1340</v>
      </c>
      <c r="U38" s="6">
        <f t="shared" si="2"/>
        <v>0</v>
      </c>
      <c r="V38" s="52"/>
      <c r="W38" s="57"/>
      <c r="X38" s="46"/>
      <c r="Y38" s="61"/>
      <c r="Z38" s="66">
        <f t="shared" si="3"/>
        <v>-1340</v>
      </c>
      <c r="AA38" s="61"/>
      <c r="AB38" s="64"/>
      <c r="AC38" s="61"/>
      <c r="AD38" s="66"/>
      <c r="AE38" s="61"/>
      <c r="AF38" s="52">
        <f t="shared" si="4"/>
        <v>-1340</v>
      </c>
      <c r="AG38" s="46">
        <f t="shared" si="5"/>
        <v>-1340</v>
      </c>
      <c r="AH38" s="51">
        <f t="shared" si="6"/>
        <v>-2680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>
        <v>7690</v>
      </c>
      <c r="P39" s="142"/>
      <c r="Q39" s="7">
        <f>SUM(E39:P39)</f>
        <v>7690</v>
      </c>
      <c r="R39" s="142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10820</v>
      </c>
      <c r="D40" s="6"/>
      <c r="E40" s="142"/>
      <c r="F40" s="142"/>
      <c r="G40" s="142"/>
      <c r="H40" s="27"/>
      <c r="I40" s="142"/>
      <c r="J40" s="142"/>
      <c r="K40" s="142"/>
      <c r="L40" s="142"/>
      <c r="M40" s="142"/>
      <c r="N40" s="142"/>
      <c r="O40" s="142"/>
      <c r="P40" s="142"/>
      <c r="Q40" s="7">
        <f>SUM(E40:P40)</f>
        <v>0</v>
      </c>
      <c r="R40" s="142"/>
      <c r="S40" s="6">
        <f t="shared" si="1"/>
        <v>10820</v>
      </c>
      <c r="T40" s="6">
        <f>-10260+40</f>
        <v>-10220</v>
      </c>
      <c r="U40" s="6">
        <f t="shared" si="2"/>
        <v>600</v>
      </c>
      <c r="V40" s="52"/>
      <c r="W40" s="57"/>
      <c r="X40" s="46"/>
      <c r="Y40" s="61"/>
      <c r="Z40" s="66">
        <f t="shared" si="3"/>
        <v>-10820</v>
      </c>
      <c r="AA40" s="61"/>
      <c r="AB40" s="67"/>
      <c r="AC40" s="61"/>
      <c r="AD40" s="66"/>
      <c r="AE40" s="61"/>
      <c r="AF40" s="52">
        <f t="shared" si="4"/>
        <v>-10820</v>
      </c>
      <c r="AG40" s="46">
        <f t="shared" si="5"/>
        <v>-10220</v>
      </c>
      <c r="AH40" s="51">
        <f t="shared" si="6"/>
        <v>-21040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7">
        <f>SUM(E41:P41)</f>
        <v>0</v>
      </c>
      <c r="R41" s="142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7">
        <f>SUM(E42:P42)</f>
        <v>0</v>
      </c>
      <c r="R42" s="142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7">
        <f t="shared" si="0"/>
        <v>0</v>
      </c>
      <c r="R44" s="142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7">
        <f t="shared" si="0"/>
        <v>0</v>
      </c>
      <c r="R45" s="142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7">
        <f t="shared" si="0"/>
        <v>0</v>
      </c>
      <c r="R46" s="142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7">
        <f t="shared" si="0"/>
        <v>0</v>
      </c>
      <c r="R47" s="142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7">
        <f t="shared" si="0"/>
        <v>0</v>
      </c>
      <c r="R48" s="142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7">
        <f t="shared" si="0"/>
        <v>0</v>
      </c>
      <c r="R49" s="142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11650</v>
      </c>
      <c r="D50" s="6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7">
        <f t="shared" si="0"/>
        <v>0</v>
      </c>
      <c r="R50" s="142">
        <v>5350</v>
      </c>
      <c r="S50" s="6">
        <f t="shared" si="1"/>
        <v>6300</v>
      </c>
      <c r="T50" s="6">
        <f>-12000+8615</f>
        <v>-3385</v>
      </c>
      <c r="U50" s="6">
        <f t="shared" si="2"/>
        <v>2915</v>
      </c>
      <c r="V50" s="52"/>
      <c r="W50" s="57"/>
      <c r="X50" s="46"/>
      <c r="Y50" s="61"/>
      <c r="Z50" s="66">
        <f t="shared" si="3"/>
        <v>-6300</v>
      </c>
      <c r="AA50" s="61"/>
      <c r="AB50" s="64"/>
      <c r="AC50" s="61"/>
      <c r="AD50" s="66"/>
      <c r="AE50" s="61"/>
      <c r="AF50" s="52">
        <f t="shared" si="4"/>
        <v>-6300</v>
      </c>
      <c r="AG50" s="46">
        <f t="shared" si="5"/>
        <v>-3385</v>
      </c>
      <c r="AH50" s="51">
        <f t="shared" si="6"/>
        <v>-9685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7">
        <f t="shared" si="0"/>
        <v>0</v>
      </c>
      <c r="R51" s="142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7">
        <f t="shared" si="0"/>
        <v>0</v>
      </c>
      <c r="R52" s="142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7">
        <f t="shared" si="0"/>
        <v>0</v>
      </c>
      <c r="R53" s="142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7">
        <f t="shared" si="0"/>
        <v>0</v>
      </c>
      <c r="R54" s="142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7">
        <f t="shared" si="0"/>
        <v>0</v>
      </c>
      <c r="R55" s="142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7">
        <f>SUM(E56:P56)</f>
        <v>0</v>
      </c>
      <c r="R56" s="142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7">
        <f t="shared" si="0"/>
        <v>0</v>
      </c>
      <c r="R61" s="142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7">
        <f t="shared" si="0"/>
        <v>0</v>
      </c>
      <c r="R62" s="141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7">
        <f t="shared" si="0"/>
        <v>0</v>
      </c>
      <c r="R63" s="141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7">
        <f t="shared" si="0"/>
        <v>0</v>
      </c>
      <c r="R64" s="141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2675</v>
      </c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7">
        <f t="shared" si="0"/>
        <v>0</v>
      </c>
      <c r="R65" s="141">
        <v>1000</v>
      </c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40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7">
        <f t="shared" si="0"/>
        <v>0</v>
      </c>
      <c r="R67" s="142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7">
        <f t="shared" si="0"/>
        <v>0</v>
      </c>
      <c r="R68" s="142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25975</v>
      </c>
      <c r="D69" s="142"/>
      <c r="E69" s="142"/>
      <c r="F69" s="142"/>
      <c r="G69" s="142">
        <v>1275</v>
      </c>
      <c r="H69" s="142"/>
      <c r="I69" s="142"/>
      <c r="J69" s="142"/>
      <c r="K69" s="142"/>
      <c r="L69" s="142"/>
      <c r="M69" s="142"/>
      <c r="N69" s="142"/>
      <c r="O69" s="142"/>
      <c r="P69" s="142"/>
      <c r="Q69" s="7">
        <f t="shared" si="0"/>
        <v>1275</v>
      </c>
      <c r="R69" s="142">
        <f>375+1250</f>
        <v>1625</v>
      </c>
      <c r="S69" s="6">
        <f t="shared" si="1"/>
        <v>24350</v>
      </c>
      <c r="T69" s="6">
        <v>-16950</v>
      </c>
      <c r="U69" s="6">
        <f t="shared" si="2"/>
        <v>7400</v>
      </c>
      <c r="V69" s="52"/>
      <c r="W69" s="57"/>
      <c r="X69" s="46"/>
      <c r="Y69" s="61"/>
      <c r="Z69" s="66">
        <f t="shared" si="3"/>
        <v>-24350</v>
      </c>
      <c r="AA69" s="61"/>
      <c r="AB69" s="64"/>
      <c r="AC69" s="61"/>
      <c r="AD69" s="66"/>
      <c r="AE69" s="61"/>
      <c r="AF69" s="52">
        <f t="shared" si="4"/>
        <v>-24350</v>
      </c>
      <c r="AG69" s="46">
        <f t="shared" si="5"/>
        <v>-16950</v>
      </c>
      <c r="AH69" s="51">
        <f t="shared" si="6"/>
        <v>-41300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14600</v>
      </c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7">
        <f t="shared" si="0"/>
        <v>0</v>
      </c>
      <c r="R70" s="142"/>
      <c r="S70" s="6">
        <f t="shared" si="1"/>
        <v>14600</v>
      </c>
      <c r="T70" s="6">
        <v>-9425</v>
      </c>
      <c r="U70" s="6">
        <f t="shared" si="2"/>
        <v>5175</v>
      </c>
      <c r="V70" s="52"/>
      <c r="W70" s="57"/>
      <c r="X70" s="46"/>
      <c r="Y70" s="61"/>
      <c r="Z70" s="66">
        <f t="shared" si="3"/>
        <v>-14600</v>
      </c>
      <c r="AA70" s="61"/>
      <c r="AB70" s="67"/>
      <c r="AC70" s="61"/>
      <c r="AD70" s="66"/>
      <c r="AE70" s="61"/>
      <c r="AF70" s="52">
        <f t="shared" si="4"/>
        <v>-14600</v>
      </c>
      <c r="AG70" s="46">
        <f t="shared" si="5"/>
        <v>-9425</v>
      </c>
      <c r="AH70" s="51">
        <f t="shared" si="6"/>
        <v>-24025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32200</v>
      </c>
      <c r="D71" s="142">
        <v>1100</v>
      </c>
      <c r="E71" s="142"/>
      <c r="F71" s="142"/>
      <c r="G71" s="142">
        <f>24000+1500</f>
        <v>25500</v>
      </c>
      <c r="H71" s="142"/>
      <c r="I71" s="142"/>
      <c r="J71" s="142"/>
      <c r="K71" s="142"/>
      <c r="L71" s="142"/>
      <c r="M71" s="142"/>
      <c r="N71" s="142"/>
      <c r="O71" s="142"/>
      <c r="P71" s="142"/>
      <c r="Q71" s="7">
        <f t="shared" si="0"/>
        <v>25500</v>
      </c>
      <c r="R71" s="142">
        <v>375</v>
      </c>
      <c r="S71" s="6">
        <f t="shared" si="1"/>
        <v>32925</v>
      </c>
      <c r="T71" s="6">
        <v>-27500</v>
      </c>
      <c r="U71" s="6">
        <f t="shared" si="2"/>
        <v>5425</v>
      </c>
      <c r="V71" s="52"/>
      <c r="W71" s="57"/>
      <c r="X71" s="46"/>
      <c r="Y71" s="61"/>
      <c r="Z71" s="66">
        <f t="shared" si="3"/>
        <v>-32925</v>
      </c>
      <c r="AA71" s="61"/>
      <c r="AB71" s="64"/>
      <c r="AC71" s="61"/>
      <c r="AD71" s="66"/>
      <c r="AE71" s="61"/>
      <c r="AF71" s="52">
        <f t="shared" si="4"/>
        <v>-32925</v>
      </c>
      <c r="AG71" s="46">
        <f t="shared" si="5"/>
        <v>-27500</v>
      </c>
      <c r="AH71" s="51">
        <f t="shared" si="6"/>
        <v>-60425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42">
        <f>SUM(C7:C72)</f>
        <v>413405</v>
      </c>
      <c r="D73" s="142">
        <f t="shared" ref="D73:V73" si="11">SUM(D7:D72)</f>
        <v>8100</v>
      </c>
      <c r="E73" s="142">
        <f t="shared" si="11"/>
        <v>0</v>
      </c>
      <c r="F73" s="142">
        <f t="shared" si="11"/>
        <v>0</v>
      </c>
      <c r="G73" s="142">
        <f t="shared" si="11"/>
        <v>40775</v>
      </c>
      <c r="H73" s="27">
        <f t="shared" si="11"/>
        <v>0</v>
      </c>
      <c r="I73" s="142">
        <f t="shared" si="11"/>
        <v>0</v>
      </c>
      <c r="J73" s="142">
        <f t="shared" si="11"/>
        <v>0</v>
      </c>
      <c r="K73" s="142">
        <f t="shared" si="11"/>
        <v>0</v>
      </c>
      <c r="L73" s="142">
        <f t="shared" si="11"/>
        <v>0</v>
      </c>
      <c r="M73" s="142">
        <f t="shared" si="11"/>
        <v>12000</v>
      </c>
      <c r="N73" s="142">
        <f t="shared" si="11"/>
        <v>0</v>
      </c>
      <c r="O73" s="142">
        <f t="shared" si="11"/>
        <v>7690</v>
      </c>
      <c r="P73" s="142">
        <f t="shared" si="11"/>
        <v>2780</v>
      </c>
      <c r="Q73" s="142">
        <f t="shared" si="11"/>
        <v>63245</v>
      </c>
      <c r="R73" s="142">
        <f t="shared" si="11"/>
        <v>26350</v>
      </c>
      <c r="S73" s="142">
        <f t="shared" si="11"/>
        <v>395155</v>
      </c>
      <c r="T73" s="142">
        <f t="shared" si="11"/>
        <v>-286670</v>
      </c>
      <c r="U73" s="142">
        <f t="shared" si="11"/>
        <v>108485</v>
      </c>
      <c r="V73" s="142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-395155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-395155</v>
      </c>
      <c r="AG73" s="43">
        <f t="shared" si="12"/>
        <v>-286670</v>
      </c>
      <c r="AH73" s="43">
        <f t="shared" si="12"/>
        <v>-681825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63245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</f>
        <v>429760</v>
      </c>
      <c r="S74" s="211"/>
      <c r="T74" s="212">
        <f>R74+R75</f>
        <v>1078845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8100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</f>
        <v>649085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26350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</f>
        <v>742515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</f>
        <v>140900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162400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35880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35465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580115</v>
      </c>
      <c r="S80" s="197"/>
      <c r="T80" s="22"/>
      <c r="U80" s="22"/>
      <c r="V80" s="2"/>
      <c r="X80" s="63">
        <f>SUM(X77:X79)</f>
        <v>71345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39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15000</v>
      </c>
      <c r="R118" s="63">
        <f t="shared" si="14"/>
        <v>137600</v>
      </c>
      <c r="S118" s="63"/>
      <c r="T118" s="63">
        <f>SUM(T87:T117)</f>
        <v>742515</v>
      </c>
      <c r="U118" s="63"/>
      <c r="V118" s="63">
        <f>SUM(V87:V117)</f>
        <v>429760</v>
      </c>
      <c r="W118" s="63">
        <f>SUM(W87:W117)</f>
        <v>649085</v>
      </c>
      <c r="X118" s="36">
        <f>SUM(V118:W118)</f>
        <v>1078845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8" activePane="bottomRight" state="frozen"/>
      <selection activeCell="O32" sqref="O32"/>
      <selection pane="topRight" activeCell="O32" sqref="O32"/>
      <selection pane="bottomLeft" activeCell="O32" sqref="O32"/>
      <selection pane="bottomRight" activeCell="K73" sqref="K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172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171</v>
      </c>
      <c r="P6" s="30" t="s">
        <v>167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10150</v>
      </c>
      <c r="D7" s="6">
        <v>5000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250+2000</f>
        <v>2250</v>
      </c>
      <c r="S7" s="6">
        <f>C7+D7-R7</f>
        <v>12900</v>
      </c>
      <c r="T7" s="34">
        <v>-9150</v>
      </c>
      <c r="U7" s="6">
        <f>S7+T7</f>
        <v>3750</v>
      </c>
      <c r="V7" s="52"/>
      <c r="W7" s="57"/>
      <c r="X7" s="46"/>
      <c r="Y7" s="65"/>
      <c r="Z7" s="66">
        <f>W7-S7</f>
        <v>-12900</v>
      </c>
      <c r="AA7" s="65"/>
      <c r="AB7" s="67"/>
      <c r="AC7" s="65"/>
      <c r="AD7" s="47"/>
      <c r="AE7" s="61"/>
      <c r="AF7" s="52">
        <f>SUM(Y7:AE7)</f>
        <v>-12900</v>
      </c>
      <c r="AG7" s="46">
        <f>U7+AF7</f>
        <v>-9150</v>
      </c>
      <c r="AH7" s="51">
        <f>AG7-S7</f>
        <v>-22050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29900</v>
      </c>
      <c r="D8" s="6">
        <v>9750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900+4000</f>
        <v>4900</v>
      </c>
      <c r="S8" s="6">
        <f t="shared" ref="S8:S71" si="1">C8+D8-R8</f>
        <v>34750</v>
      </c>
      <c r="T8" s="6">
        <v>-24350</v>
      </c>
      <c r="U8" s="6">
        <f t="shared" ref="U8:U71" si="2">S8+T8</f>
        <v>10400</v>
      </c>
      <c r="V8" s="52"/>
      <c r="W8" s="57"/>
      <c r="X8" s="46"/>
      <c r="Y8" s="61"/>
      <c r="Z8" s="66">
        <f t="shared" ref="Z8:Z71" si="3">W8-S8</f>
        <v>-34750</v>
      </c>
      <c r="AA8" s="61"/>
      <c r="AB8" s="67"/>
      <c r="AC8" s="61"/>
      <c r="AD8" s="66"/>
      <c r="AE8" s="61"/>
      <c r="AF8" s="52">
        <f t="shared" ref="AF8:AF71" si="4">SUM(Y8:AE8)</f>
        <v>-34750</v>
      </c>
      <c r="AG8" s="46">
        <f t="shared" ref="AG8:AG71" si="5">U8+AF8</f>
        <v>-24350</v>
      </c>
      <c r="AH8" s="51">
        <f t="shared" ref="AH8:AH71" si="6">AG8-S8</f>
        <v>-59100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>
        <v>9750</v>
      </c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9750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3750</v>
      </c>
      <c r="D11" s="6">
        <v>4850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500+1000</f>
        <v>1500</v>
      </c>
      <c r="S11" s="6">
        <f t="shared" si="1"/>
        <v>7100</v>
      </c>
      <c r="T11" s="6">
        <v>-3750</v>
      </c>
      <c r="U11" s="6">
        <f t="shared" si="2"/>
        <v>3350</v>
      </c>
      <c r="V11" s="52"/>
      <c r="W11" s="57"/>
      <c r="X11" s="46"/>
      <c r="Y11" s="61"/>
      <c r="Z11" s="66">
        <f t="shared" si="3"/>
        <v>-7100</v>
      </c>
      <c r="AA11" s="61"/>
      <c r="AB11" s="67"/>
      <c r="AC11" s="61"/>
      <c r="AD11" s="66"/>
      <c r="AE11" s="61"/>
      <c r="AF11" s="52">
        <f t="shared" si="4"/>
        <v>-7100</v>
      </c>
      <c r="AG11" s="46">
        <f t="shared" si="5"/>
        <v>-3750</v>
      </c>
      <c r="AH11" s="51">
        <f t="shared" si="6"/>
        <v>-10850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1550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1000+200</f>
        <v>1200</v>
      </c>
      <c r="S12" s="6">
        <f t="shared" si="1"/>
        <v>350</v>
      </c>
      <c r="T12" s="6">
        <v>4700</v>
      </c>
      <c r="U12" s="6">
        <f t="shared" si="2"/>
        <v>5050</v>
      </c>
      <c r="V12" s="52"/>
      <c r="W12" s="57"/>
      <c r="X12" s="46"/>
      <c r="Y12" s="61"/>
      <c r="Z12" s="66">
        <f t="shared" si="3"/>
        <v>-350</v>
      </c>
      <c r="AA12" s="61"/>
      <c r="AB12" s="67"/>
      <c r="AC12" s="61"/>
      <c r="AD12" s="66"/>
      <c r="AE12" s="61"/>
      <c r="AF12" s="52">
        <f t="shared" si="4"/>
        <v>-350</v>
      </c>
      <c r="AG12" s="46">
        <f t="shared" si="5"/>
        <v>4700</v>
      </c>
      <c r="AH12" s="51">
        <f t="shared" si="6"/>
        <v>4350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19660</v>
      </c>
      <c r="D14" s="6">
        <f>5000+5000+18950</f>
        <v>28950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6000+1500+1500+5000+1250+1500+1500</f>
        <v>18250</v>
      </c>
      <c r="S14" s="6">
        <f t="shared" si="1"/>
        <v>30360</v>
      </c>
      <c r="T14" s="6">
        <v>-5760</v>
      </c>
      <c r="U14" s="6">
        <f t="shared" si="2"/>
        <v>24600</v>
      </c>
      <c r="V14" s="52"/>
      <c r="W14" s="57"/>
      <c r="X14" s="46"/>
      <c r="Y14" s="61"/>
      <c r="Z14" s="66">
        <f t="shared" si="3"/>
        <v>-30360</v>
      </c>
      <c r="AA14" s="61"/>
      <c r="AB14" s="66"/>
      <c r="AC14" s="61"/>
      <c r="AD14" s="66"/>
      <c r="AE14" s="61"/>
      <c r="AF14" s="52">
        <f t="shared" si="4"/>
        <v>-30360</v>
      </c>
      <c r="AG14" s="46">
        <f t="shared" si="5"/>
        <v>-5760</v>
      </c>
      <c r="AH14" s="51">
        <f t="shared" si="6"/>
        <v>-36120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10400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10400</v>
      </c>
      <c r="T16" s="34">
        <v>-10050</v>
      </c>
      <c r="U16" s="6">
        <f t="shared" si="2"/>
        <v>350</v>
      </c>
      <c r="V16" s="52"/>
      <c r="W16" s="57"/>
      <c r="X16" s="46"/>
      <c r="Y16" s="61"/>
      <c r="Z16" s="66">
        <f t="shared" si="3"/>
        <v>-10400</v>
      </c>
      <c r="AA16" s="61"/>
      <c r="AB16" s="67"/>
      <c r="AC16" s="61"/>
      <c r="AD16" s="47"/>
      <c r="AE16" s="61"/>
      <c r="AF16" s="52">
        <f t="shared" si="4"/>
        <v>-10400</v>
      </c>
      <c r="AG16" s="46">
        <f t="shared" si="5"/>
        <v>-10050</v>
      </c>
      <c r="AH16" s="51">
        <f t="shared" si="6"/>
        <v>-20450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7450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v>500</v>
      </c>
      <c r="S17" s="6">
        <f t="shared" si="1"/>
        <v>6950</v>
      </c>
      <c r="T17" s="6">
        <v>-5000</v>
      </c>
      <c r="U17" s="6">
        <f t="shared" si="2"/>
        <v>1950</v>
      </c>
      <c r="V17" s="52"/>
      <c r="W17" s="57"/>
      <c r="X17" s="46"/>
      <c r="Y17" s="61"/>
      <c r="Z17" s="66">
        <f t="shared" si="3"/>
        <v>-6950</v>
      </c>
      <c r="AA17" s="61"/>
      <c r="AB17" s="66"/>
      <c r="AC17" s="61"/>
      <c r="AD17" s="66"/>
      <c r="AE17" s="61"/>
      <c r="AF17" s="52">
        <f t="shared" si="4"/>
        <v>-6950</v>
      </c>
      <c r="AG17" s="46">
        <f t="shared" si="5"/>
        <v>-5000</v>
      </c>
      <c r="AH17" s="51">
        <f t="shared" si="6"/>
        <v>-11950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>
        <v>130</v>
      </c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3245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>
        <v>320</v>
      </c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7">
        <f t="shared" si="0"/>
        <v>0</v>
      </c>
      <c r="R22" s="144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7">
        <f t="shared" si="0"/>
        <v>0</v>
      </c>
      <c r="R24" s="144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7">
        <f t="shared" si="0"/>
        <v>0</v>
      </c>
      <c r="R25" s="144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7">
        <f t="shared" si="0"/>
        <v>0</v>
      </c>
      <c r="R26" s="144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5560</v>
      </c>
      <c r="D27" s="6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7">
        <f t="shared" si="0"/>
        <v>0</v>
      </c>
      <c r="R27" s="144">
        <v>500</v>
      </c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5200</v>
      </c>
      <c r="D28" s="6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7">
        <f t="shared" si="0"/>
        <v>0</v>
      </c>
      <c r="R28" s="144"/>
      <c r="S28" s="6">
        <f t="shared" si="1"/>
        <v>5200</v>
      </c>
      <c r="T28" s="6">
        <f>-40-100</f>
        <v>-140</v>
      </c>
      <c r="U28" s="6">
        <f t="shared" si="2"/>
        <v>5060</v>
      </c>
      <c r="V28" s="52"/>
      <c r="W28" s="57"/>
      <c r="X28" s="46"/>
      <c r="Y28" s="61"/>
      <c r="Z28" s="66">
        <f t="shared" si="3"/>
        <v>-5200</v>
      </c>
      <c r="AA28" s="61"/>
      <c r="AB28" s="67"/>
      <c r="AC28" s="61"/>
      <c r="AD28" s="66"/>
      <c r="AE28" s="61"/>
      <c r="AF28" s="52">
        <f t="shared" si="4"/>
        <v>-5200</v>
      </c>
      <c r="AG28" s="46">
        <f t="shared" si="5"/>
        <v>-140</v>
      </c>
      <c r="AH28" s="51">
        <f t="shared" si="6"/>
        <v>-5340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3500</v>
      </c>
      <c r="D29" s="6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7">
        <f t="shared" si="0"/>
        <v>0</v>
      </c>
      <c r="R29" s="144"/>
      <c r="S29" s="6">
        <f t="shared" si="1"/>
        <v>3500</v>
      </c>
      <c r="T29" s="6">
        <f>860+100</f>
        <v>960</v>
      </c>
      <c r="U29" s="6">
        <f t="shared" si="2"/>
        <v>4460</v>
      </c>
      <c r="V29" s="52"/>
      <c r="W29" s="57"/>
      <c r="X29" s="46"/>
      <c r="Y29" s="61"/>
      <c r="Z29" s="66">
        <f t="shared" si="3"/>
        <v>-3500</v>
      </c>
      <c r="AA29" s="61"/>
      <c r="AB29" s="67"/>
      <c r="AC29" s="61"/>
      <c r="AD29" s="66"/>
      <c r="AE29" s="61"/>
      <c r="AF29" s="52">
        <f t="shared" si="4"/>
        <v>-3500</v>
      </c>
      <c r="AG29" s="46">
        <f t="shared" si="5"/>
        <v>960</v>
      </c>
      <c r="AH29" s="51">
        <f t="shared" si="6"/>
        <v>-2540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7">
        <f t="shared" si="0"/>
        <v>0</v>
      </c>
      <c r="R30" s="144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44"/>
      <c r="F31" s="144">
        <v>9500</v>
      </c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7">
        <f t="shared" si="0"/>
        <v>9500</v>
      </c>
      <c r="R31" s="144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29720</v>
      </c>
      <c r="D32" s="6"/>
      <c r="E32" s="144"/>
      <c r="F32" s="144">
        <v>15375</v>
      </c>
      <c r="G32" s="144"/>
      <c r="H32" s="144"/>
      <c r="I32" s="144"/>
      <c r="J32" s="144"/>
      <c r="K32" s="144">
        <v>1020</v>
      </c>
      <c r="L32" s="144"/>
      <c r="M32" s="144"/>
      <c r="N32" s="144"/>
      <c r="O32" s="6"/>
      <c r="P32" s="6"/>
      <c r="Q32" s="7">
        <f>SUM(E32:P32)</f>
        <v>16395</v>
      </c>
      <c r="R32" s="144">
        <v>20</v>
      </c>
      <c r="S32" s="6">
        <f t="shared" si="1"/>
        <v>29700</v>
      </c>
      <c r="T32" s="6">
        <v>-18280</v>
      </c>
      <c r="U32" s="6">
        <f t="shared" si="2"/>
        <v>11420</v>
      </c>
      <c r="V32" s="52"/>
      <c r="W32" s="57"/>
      <c r="X32" s="46"/>
      <c r="Y32" s="61"/>
      <c r="Z32" s="66">
        <f t="shared" si="3"/>
        <v>-29700</v>
      </c>
      <c r="AA32" s="61"/>
      <c r="AB32" s="67"/>
      <c r="AC32" s="61"/>
      <c r="AD32" s="66"/>
      <c r="AE32" s="61"/>
      <c r="AF32" s="52">
        <f t="shared" si="4"/>
        <v>-29700</v>
      </c>
      <c r="AG32" s="46">
        <f t="shared" si="5"/>
        <v>-18280</v>
      </c>
      <c r="AH32" s="51">
        <f t="shared" si="6"/>
        <v>-47980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7">
        <f t="shared" si="0"/>
        <v>0</v>
      </c>
      <c r="R33" s="144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2860</v>
      </c>
      <c r="D34" s="6"/>
      <c r="E34" s="144"/>
      <c r="F34" s="144"/>
      <c r="G34" s="144"/>
      <c r="H34" s="144"/>
      <c r="I34" s="144"/>
      <c r="J34" s="144"/>
      <c r="K34" s="6"/>
      <c r="L34" s="144"/>
      <c r="M34" s="144"/>
      <c r="N34" s="144"/>
      <c r="O34" s="144"/>
      <c r="P34" s="144"/>
      <c r="Q34" s="7">
        <f t="shared" si="0"/>
        <v>0</v>
      </c>
      <c r="R34" s="144"/>
      <c r="S34" s="6">
        <f t="shared" si="1"/>
        <v>2860</v>
      </c>
      <c r="T34" s="6">
        <v>2960</v>
      </c>
      <c r="U34" s="6">
        <f t="shared" si="2"/>
        <v>5820</v>
      </c>
      <c r="V34" s="52"/>
      <c r="W34" s="57"/>
      <c r="X34" s="46"/>
      <c r="Y34" s="61"/>
      <c r="Z34" s="66">
        <f t="shared" si="3"/>
        <v>-2860</v>
      </c>
      <c r="AA34" s="61"/>
      <c r="AB34" s="67"/>
      <c r="AC34" s="61"/>
      <c r="AD34" s="66"/>
      <c r="AE34" s="61"/>
      <c r="AF34" s="52">
        <f t="shared" si="4"/>
        <v>-2860</v>
      </c>
      <c r="AG34" s="46">
        <f t="shared" si="5"/>
        <v>2960</v>
      </c>
      <c r="AH34" s="51">
        <f t="shared" si="6"/>
        <v>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5220</v>
      </c>
      <c r="D35" s="6"/>
      <c r="E35" s="144"/>
      <c r="F35" s="144"/>
      <c r="G35" s="144"/>
      <c r="H35" s="144"/>
      <c r="I35" s="144"/>
      <c r="J35" s="144"/>
      <c r="K35" s="6"/>
      <c r="L35" s="144"/>
      <c r="M35" s="144"/>
      <c r="N35" s="144"/>
      <c r="O35" s="144"/>
      <c r="P35" s="144"/>
      <c r="Q35" s="7">
        <f t="shared" si="0"/>
        <v>0</v>
      </c>
      <c r="R35" s="144">
        <v>500</v>
      </c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7">
        <f t="shared" si="0"/>
        <v>0</v>
      </c>
      <c r="R36" s="144">
        <v>200</v>
      </c>
      <c r="S36" s="6">
        <f t="shared" si="1"/>
        <v>340</v>
      </c>
      <c r="T36" s="6">
        <v>-540</v>
      </c>
      <c r="U36" s="6">
        <f t="shared" si="2"/>
        <v>-200</v>
      </c>
      <c r="V36" s="52"/>
      <c r="W36" s="57"/>
      <c r="X36" s="46"/>
      <c r="Y36" s="61"/>
      <c r="Z36" s="66">
        <f t="shared" si="3"/>
        <v>-340</v>
      </c>
      <c r="AA36" s="61"/>
      <c r="AB36" s="64"/>
      <c r="AC36" s="61"/>
      <c r="AD36" s="66"/>
      <c r="AE36" s="61"/>
      <c r="AF36" s="52">
        <f t="shared" si="4"/>
        <v>-340</v>
      </c>
      <c r="AG36" s="46">
        <f t="shared" si="5"/>
        <v>-540</v>
      </c>
      <c r="AH36" s="51">
        <f t="shared" si="6"/>
        <v>-880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7">
        <f t="shared" si="0"/>
        <v>0</v>
      </c>
      <c r="R37" s="144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1340</v>
      </c>
      <c r="D38" s="6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7">
        <f>SUM(E38:P38)</f>
        <v>0</v>
      </c>
      <c r="R38" s="144"/>
      <c r="S38" s="6">
        <f t="shared" si="1"/>
        <v>1340</v>
      </c>
      <c r="T38" s="6">
        <v>-1340</v>
      </c>
      <c r="U38" s="6">
        <f t="shared" si="2"/>
        <v>0</v>
      </c>
      <c r="V38" s="52"/>
      <c r="W38" s="57"/>
      <c r="X38" s="46"/>
      <c r="Y38" s="61"/>
      <c r="Z38" s="66">
        <f t="shared" si="3"/>
        <v>-1340</v>
      </c>
      <c r="AA38" s="61"/>
      <c r="AB38" s="64"/>
      <c r="AC38" s="61"/>
      <c r="AD38" s="66"/>
      <c r="AE38" s="61"/>
      <c r="AF38" s="52">
        <f t="shared" si="4"/>
        <v>-1340</v>
      </c>
      <c r="AG38" s="46">
        <f t="shared" si="5"/>
        <v>-1340</v>
      </c>
      <c r="AH38" s="51">
        <f t="shared" si="6"/>
        <v>-2680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7">
        <f>SUM(E39:P39)</f>
        <v>0</v>
      </c>
      <c r="R39" s="144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10820</v>
      </c>
      <c r="D40" s="6"/>
      <c r="E40" s="144"/>
      <c r="F40" s="144"/>
      <c r="G40" s="144"/>
      <c r="H40" s="27"/>
      <c r="I40" s="144"/>
      <c r="J40" s="144"/>
      <c r="K40" s="144"/>
      <c r="L40" s="144"/>
      <c r="M40" s="144"/>
      <c r="N40" s="144"/>
      <c r="O40" s="144"/>
      <c r="P40" s="144"/>
      <c r="Q40" s="7">
        <f>SUM(E40:P40)</f>
        <v>0</v>
      </c>
      <c r="R40" s="144">
        <v>1880</v>
      </c>
      <c r="S40" s="6">
        <f t="shared" si="1"/>
        <v>8940</v>
      </c>
      <c r="T40" s="6">
        <f>-10260+40</f>
        <v>-10220</v>
      </c>
      <c r="U40" s="6">
        <f t="shared" si="2"/>
        <v>-1280</v>
      </c>
      <c r="V40" s="52"/>
      <c r="W40" s="57"/>
      <c r="X40" s="46"/>
      <c r="Y40" s="61"/>
      <c r="Z40" s="66">
        <f t="shared" si="3"/>
        <v>-8940</v>
      </c>
      <c r="AA40" s="61"/>
      <c r="AB40" s="67"/>
      <c r="AC40" s="61"/>
      <c r="AD40" s="66"/>
      <c r="AE40" s="61"/>
      <c r="AF40" s="52">
        <f t="shared" si="4"/>
        <v>-8940</v>
      </c>
      <c r="AG40" s="46">
        <f t="shared" si="5"/>
        <v>-10220</v>
      </c>
      <c r="AH40" s="51">
        <f t="shared" si="6"/>
        <v>-19160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7">
        <f>SUM(E41:P41)</f>
        <v>0</v>
      </c>
      <c r="R41" s="144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7">
        <f>SUM(E42:P42)</f>
        <v>0</v>
      </c>
      <c r="R42" s="144">
        <v>1000</v>
      </c>
      <c r="S42" s="6">
        <f t="shared" si="1"/>
        <v>3720</v>
      </c>
      <c r="T42" s="6">
        <v>-1920</v>
      </c>
      <c r="U42" s="6">
        <f t="shared" si="2"/>
        <v>1800</v>
      </c>
      <c r="V42" s="52"/>
      <c r="W42" s="57"/>
      <c r="X42" s="46"/>
      <c r="Y42" s="61"/>
      <c r="Z42" s="66">
        <f t="shared" si="3"/>
        <v>-3720</v>
      </c>
      <c r="AA42" s="61"/>
      <c r="AB42" s="67"/>
      <c r="AC42" s="61"/>
      <c r="AD42" s="66"/>
      <c r="AE42" s="61"/>
      <c r="AF42" s="52">
        <f t="shared" si="4"/>
        <v>-3720</v>
      </c>
      <c r="AG42" s="46">
        <f t="shared" si="5"/>
        <v>-1920</v>
      </c>
      <c r="AH42" s="51">
        <f t="shared" si="6"/>
        <v>-5640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7">
        <f t="shared" si="0"/>
        <v>0</v>
      </c>
      <c r="R44" s="144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7">
        <f t="shared" si="0"/>
        <v>0</v>
      </c>
      <c r="R45" s="144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7">
        <f t="shared" si="0"/>
        <v>0</v>
      </c>
      <c r="R46" s="144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7">
        <f t="shared" si="0"/>
        <v>0</v>
      </c>
      <c r="R47" s="144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7">
        <f t="shared" si="0"/>
        <v>0</v>
      </c>
      <c r="R48" s="144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7">
        <f t="shared" si="0"/>
        <v>0</v>
      </c>
      <c r="R49" s="144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6300</v>
      </c>
      <c r="D50" s="6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7">
        <f t="shared" si="0"/>
        <v>0</v>
      </c>
      <c r="R50" s="144"/>
      <c r="S50" s="6">
        <f t="shared" si="1"/>
        <v>6300</v>
      </c>
      <c r="T50" s="6">
        <f>-12000+8615</f>
        <v>-3385</v>
      </c>
      <c r="U50" s="6">
        <f t="shared" si="2"/>
        <v>2915</v>
      </c>
      <c r="V50" s="52"/>
      <c r="W50" s="57"/>
      <c r="X50" s="46"/>
      <c r="Y50" s="61"/>
      <c r="Z50" s="66">
        <f t="shared" si="3"/>
        <v>-6300</v>
      </c>
      <c r="AA50" s="61"/>
      <c r="AB50" s="64"/>
      <c r="AC50" s="61"/>
      <c r="AD50" s="66"/>
      <c r="AE50" s="61"/>
      <c r="AF50" s="52">
        <f t="shared" si="4"/>
        <v>-6300</v>
      </c>
      <c r="AG50" s="46">
        <f t="shared" si="5"/>
        <v>-3385</v>
      </c>
      <c r="AH50" s="51">
        <f t="shared" si="6"/>
        <v>-9685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7">
        <f t="shared" si="0"/>
        <v>0</v>
      </c>
      <c r="R51" s="144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7">
        <f t="shared" si="0"/>
        <v>0</v>
      </c>
      <c r="R52" s="144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7">
        <f t="shared" si="0"/>
        <v>0</v>
      </c>
      <c r="R53" s="144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7">
        <f t="shared" si="0"/>
        <v>0</v>
      </c>
      <c r="R54" s="144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7">
        <f t="shared" si="0"/>
        <v>0</v>
      </c>
      <c r="R55" s="144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7">
        <f>SUM(E56:P56)</f>
        <v>0</v>
      </c>
      <c r="R56" s="144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7">
        <f t="shared" si="0"/>
        <v>0</v>
      </c>
      <c r="R61" s="144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7">
        <f t="shared" si="0"/>
        <v>0</v>
      </c>
      <c r="R62" s="143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7">
        <f t="shared" si="0"/>
        <v>0</v>
      </c>
      <c r="R63" s="143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7">
        <f t="shared" si="0"/>
        <v>0</v>
      </c>
      <c r="R64" s="143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7">
        <f t="shared" si="0"/>
        <v>0</v>
      </c>
      <c r="R65" s="143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45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7">
        <f t="shared" si="0"/>
        <v>0</v>
      </c>
      <c r="R67" s="144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7">
        <f t="shared" si="0"/>
        <v>0</v>
      </c>
      <c r="R68" s="144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24350</v>
      </c>
      <c r="D69" s="144">
        <v>1000</v>
      </c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7">
        <f t="shared" si="0"/>
        <v>0</v>
      </c>
      <c r="R69" s="144">
        <f>125+4000+1000</f>
        <v>5125</v>
      </c>
      <c r="S69" s="6">
        <f t="shared" si="1"/>
        <v>20225</v>
      </c>
      <c r="T69" s="6">
        <v>-16950</v>
      </c>
      <c r="U69" s="6">
        <f t="shared" si="2"/>
        <v>3275</v>
      </c>
      <c r="V69" s="52"/>
      <c r="W69" s="57"/>
      <c r="X69" s="46"/>
      <c r="Y69" s="61"/>
      <c r="Z69" s="66">
        <f t="shared" si="3"/>
        <v>-20225</v>
      </c>
      <c r="AA69" s="61"/>
      <c r="AB69" s="64"/>
      <c r="AC69" s="61"/>
      <c r="AD69" s="66"/>
      <c r="AE69" s="61"/>
      <c r="AF69" s="52">
        <f t="shared" si="4"/>
        <v>-20225</v>
      </c>
      <c r="AG69" s="46">
        <f t="shared" si="5"/>
        <v>-16950</v>
      </c>
      <c r="AH69" s="51">
        <f t="shared" si="6"/>
        <v>-37175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14600</v>
      </c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7">
        <f t="shared" si="0"/>
        <v>0</v>
      </c>
      <c r="R70" s="144"/>
      <c r="S70" s="6">
        <f t="shared" si="1"/>
        <v>14600</v>
      </c>
      <c r="T70" s="6">
        <v>-9425</v>
      </c>
      <c r="U70" s="6">
        <f t="shared" si="2"/>
        <v>5175</v>
      </c>
      <c r="V70" s="52"/>
      <c r="W70" s="57"/>
      <c r="X70" s="46"/>
      <c r="Y70" s="61"/>
      <c r="Z70" s="66">
        <f t="shared" si="3"/>
        <v>-14600</v>
      </c>
      <c r="AA70" s="61"/>
      <c r="AB70" s="67"/>
      <c r="AC70" s="61"/>
      <c r="AD70" s="66"/>
      <c r="AE70" s="61"/>
      <c r="AF70" s="52">
        <f t="shared" si="4"/>
        <v>-14600</v>
      </c>
      <c r="AG70" s="46">
        <f t="shared" si="5"/>
        <v>-9425</v>
      </c>
      <c r="AH70" s="51">
        <f t="shared" si="6"/>
        <v>-24025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32925</v>
      </c>
      <c r="D71" s="144">
        <f>9000+13950</f>
        <v>22950</v>
      </c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7">
        <f t="shared" si="0"/>
        <v>0</v>
      </c>
      <c r="R71" s="144">
        <f>375+13000+3000</f>
        <v>16375</v>
      </c>
      <c r="S71" s="6">
        <f t="shared" si="1"/>
        <v>39500</v>
      </c>
      <c r="T71" s="6">
        <v>-27500</v>
      </c>
      <c r="U71" s="6">
        <f t="shared" si="2"/>
        <v>12000</v>
      </c>
      <c r="V71" s="52"/>
      <c r="W71" s="57"/>
      <c r="X71" s="46"/>
      <c r="Y71" s="61"/>
      <c r="Z71" s="66">
        <f t="shared" si="3"/>
        <v>-39500</v>
      </c>
      <c r="AA71" s="61"/>
      <c r="AB71" s="64"/>
      <c r="AC71" s="61"/>
      <c r="AD71" s="66"/>
      <c r="AE71" s="61"/>
      <c r="AF71" s="52">
        <f t="shared" si="4"/>
        <v>-39500</v>
      </c>
      <c r="AG71" s="46">
        <f t="shared" si="5"/>
        <v>-27500</v>
      </c>
      <c r="AH71" s="51">
        <f t="shared" si="6"/>
        <v>-67000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44">
        <f>SUM(C7:C72)</f>
        <v>395155</v>
      </c>
      <c r="D73" s="144">
        <f t="shared" ref="D73:V73" si="11">SUM(D7:D72)</f>
        <v>72500</v>
      </c>
      <c r="E73" s="144">
        <f t="shared" si="11"/>
        <v>0</v>
      </c>
      <c r="F73" s="144">
        <f t="shared" si="11"/>
        <v>24875</v>
      </c>
      <c r="G73" s="144">
        <f t="shared" si="11"/>
        <v>9750</v>
      </c>
      <c r="H73" s="27">
        <f t="shared" si="11"/>
        <v>0</v>
      </c>
      <c r="I73" s="144">
        <f t="shared" si="11"/>
        <v>0</v>
      </c>
      <c r="J73" s="144">
        <f t="shared" si="11"/>
        <v>0</v>
      </c>
      <c r="K73" s="144">
        <f t="shared" si="11"/>
        <v>1020</v>
      </c>
      <c r="L73" s="144">
        <f t="shared" si="11"/>
        <v>0</v>
      </c>
      <c r="M73" s="144">
        <f t="shared" si="11"/>
        <v>0</v>
      </c>
      <c r="N73" s="144">
        <f t="shared" si="11"/>
        <v>0</v>
      </c>
      <c r="O73" s="144">
        <f t="shared" si="11"/>
        <v>0</v>
      </c>
      <c r="P73" s="144">
        <f t="shared" si="11"/>
        <v>0</v>
      </c>
      <c r="Q73" s="144">
        <f t="shared" si="11"/>
        <v>35645</v>
      </c>
      <c r="R73" s="144">
        <f t="shared" si="11"/>
        <v>54650</v>
      </c>
      <c r="S73" s="144">
        <f t="shared" si="11"/>
        <v>413005</v>
      </c>
      <c r="T73" s="144">
        <f t="shared" si="11"/>
        <v>-286670</v>
      </c>
      <c r="U73" s="144">
        <f t="shared" si="11"/>
        <v>126335</v>
      </c>
      <c r="V73" s="144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-413005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-413005</v>
      </c>
      <c r="AG73" s="43">
        <f t="shared" si="12"/>
        <v>-286670</v>
      </c>
      <c r="AH73" s="43">
        <f t="shared" si="12"/>
        <v>-699675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35645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</f>
        <v>429760</v>
      </c>
      <c r="S74" s="211"/>
      <c r="T74" s="212">
        <f>R74+R75</f>
        <v>1078845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72500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</f>
        <v>649085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54650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</f>
        <v>742515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</f>
        <v>140900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162400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59045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49100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580115</v>
      </c>
      <c r="S80" s="197"/>
      <c r="T80" s="22"/>
      <c r="U80" s="22"/>
      <c r="V80" s="2"/>
      <c r="X80" s="63">
        <f>SUM(X77:X79)</f>
        <v>108145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46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15000</v>
      </c>
      <c r="R118" s="63">
        <f t="shared" si="14"/>
        <v>149600</v>
      </c>
      <c r="S118" s="63"/>
      <c r="T118" s="63">
        <f>SUM(T87:T117)</f>
        <v>797165</v>
      </c>
      <c r="U118" s="63"/>
      <c r="V118" s="63">
        <f>SUM(V87:V117)</f>
        <v>465405</v>
      </c>
      <c r="W118" s="63">
        <f>SUM(W87:W117)</f>
        <v>721585</v>
      </c>
      <c r="X118" s="36">
        <f>SUM(V118:W118)</f>
        <v>1186990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4" activePane="bottomRight" state="frozen"/>
      <selection activeCell="O32" sqref="O32"/>
      <selection pane="topRight" activeCell="O32" sqref="O32"/>
      <selection pane="bottomLeft" activeCell="O32" sqref="O32"/>
      <selection pane="bottomRight" activeCell="P73" sqref="P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174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171</v>
      </c>
      <c r="P6" s="30" t="s">
        <v>175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12900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12900</v>
      </c>
      <c r="T7" s="34">
        <v>-9150</v>
      </c>
      <c r="U7" s="6">
        <f>S7+T7</f>
        <v>3750</v>
      </c>
      <c r="V7" s="52"/>
      <c r="W7" s="57"/>
      <c r="X7" s="46"/>
      <c r="Y7" s="65"/>
      <c r="Z7" s="66">
        <f>W7-S7</f>
        <v>-12900</v>
      </c>
      <c r="AA7" s="65"/>
      <c r="AB7" s="67"/>
      <c r="AC7" s="65"/>
      <c r="AD7" s="47"/>
      <c r="AE7" s="61"/>
      <c r="AF7" s="52">
        <f>SUM(Y7:AE7)</f>
        <v>-12900</v>
      </c>
      <c r="AG7" s="46">
        <f>U7+AF7</f>
        <v>-9150</v>
      </c>
      <c r="AH7" s="51">
        <f>AG7-S7</f>
        <v>-22050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34750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1000</v>
      </c>
      <c r="S8" s="6">
        <f t="shared" ref="S8:S71" si="1">C8+D8-R8</f>
        <v>33750</v>
      </c>
      <c r="T8" s="6">
        <v>-24350</v>
      </c>
      <c r="U8" s="6">
        <f t="shared" ref="U8:U71" si="2">S8+T8</f>
        <v>9400</v>
      </c>
      <c r="V8" s="52"/>
      <c r="W8" s="57"/>
      <c r="X8" s="46"/>
      <c r="Y8" s="61"/>
      <c r="Z8" s="66">
        <f t="shared" ref="Z8:Z71" si="3">W8-S8</f>
        <v>-33750</v>
      </c>
      <c r="AA8" s="61"/>
      <c r="AB8" s="67"/>
      <c r="AC8" s="61"/>
      <c r="AD8" s="66"/>
      <c r="AE8" s="61"/>
      <c r="AF8" s="52">
        <f t="shared" ref="AF8:AF71" si="4">SUM(Y8:AE8)</f>
        <v>-33750</v>
      </c>
      <c r="AG8" s="46">
        <f t="shared" ref="AG8:AG71" si="5">U8+AF8</f>
        <v>-24350</v>
      </c>
      <c r="AH8" s="51">
        <f t="shared" ref="AH8:AH71" si="6">AG8-S8</f>
        <v>-58100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7100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100</v>
      </c>
      <c r="S11" s="6">
        <f t="shared" si="1"/>
        <v>7000</v>
      </c>
      <c r="T11" s="6">
        <v>-3750</v>
      </c>
      <c r="U11" s="6">
        <f t="shared" si="2"/>
        <v>3250</v>
      </c>
      <c r="V11" s="52"/>
      <c r="W11" s="57"/>
      <c r="X11" s="46"/>
      <c r="Y11" s="61"/>
      <c r="Z11" s="66">
        <f t="shared" si="3"/>
        <v>-7000</v>
      </c>
      <c r="AA11" s="61"/>
      <c r="AB11" s="67"/>
      <c r="AC11" s="61"/>
      <c r="AD11" s="66"/>
      <c r="AE11" s="61"/>
      <c r="AF11" s="52">
        <f t="shared" si="4"/>
        <v>-7000</v>
      </c>
      <c r="AG11" s="46">
        <f t="shared" si="5"/>
        <v>-3750</v>
      </c>
      <c r="AH11" s="51">
        <f t="shared" si="6"/>
        <v>-10750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350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100+1000</f>
        <v>1100</v>
      </c>
      <c r="S12" s="6">
        <f t="shared" si="1"/>
        <v>-750</v>
      </c>
      <c r="T12" s="6">
        <v>4700</v>
      </c>
      <c r="U12" s="6">
        <f t="shared" si="2"/>
        <v>3950</v>
      </c>
      <c r="V12" s="52"/>
      <c r="W12" s="57"/>
      <c r="X12" s="46"/>
      <c r="Y12" s="61"/>
      <c r="Z12" s="66">
        <f t="shared" si="3"/>
        <v>750</v>
      </c>
      <c r="AA12" s="61"/>
      <c r="AB12" s="67"/>
      <c r="AC12" s="61"/>
      <c r="AD12" s="66"/>
      <c r="AE12" s="61"/>
      <c r="AF12" s="52">
        <f t="shared" si="4"/>
        <v>750</v>
      </c>
      <c r="AG12" s="46">
        <f t="shared" si="5"/>
        <v>4700</v>
      </c>
      <c r="AH12" s="51">
        <f t="shared" si="6"/>
        <v>5450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30360</v>
      </c>
      <c r="D14" s="6">
        <v>14850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2000+6000+5000</f>
        <v>13000</v>
      </c>
      <c r="S14" s="6">
        <f t="shared" si="1"/>
        <v>32210</v>
      </c>
      <c r="T14" s="6">
        <v>-5760</v>
      </c>
      <c r="U14" s="6">
        <f t="shared" si="2"/>
        <v>26450</v>
      </c>
      <c r="V14" s="52"/>
      <c r="W14" s="57"/>
      <c r="X14" s="46"/>
      <c r="Y14" s="61"/>
      <c r="Z14" s="66">
        <f t="shared" si="3"/>
        <v>-32210</v>
      </c>
      <c r="AA14" s="61"/>
      <c r="AB14" s="66"/>
      <c r="AC14" s="61"/>
      <c r="AD14" s="66"/>
      <c r="AE14" s="61"/>
      <c r="AF14" s="52">
        <f t="shared" si="4"/>
        <v>-32210</v>
      </c>
      <c r="AG14" s="46">
        <f t="shared" si="5"/>
        <v>-5760</v>
      </c>
      <c r="AH14" s="51">
        <f t="shared" si="6"/>
        <v>-37970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10400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10400</v>
      </c>
      <c r="T16" s="34">
        <v>-10050</v>
      </c>
      <c r="U16" s="6">
        <f t="shared" si="2"/>
        <v>350</v>
      </c>
      <c r="V16" s="52"/>
      <c r="W16" s="57"/>
      <c r="X16" s="46"/>
      <c r="Y16" s="61"/>
      <c r="Z16" s="66">
        <f t="shared" si="3"/>
        <v>-10400</v>
      </c>
      <c r="AA16" s="61"/>
      <c r="AB16" s="67"/>
      <c r="AC16" s="61"/>
      <c r="AD16" s="47"/>
      <c r="AE16" s="61"/>
      <c r="AF16" s="52">
        <f t="shared" si="4"/>
        <v>-10400</v>
      </c>
      <c r="AG16" s="46">
        <f t="shared" si="5"/>
        <v>-10050</v>
      </c>
      <c r="AH16" s="51">
        <f t="shared" si="6"/>
        <v>-20450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6950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6950</v>
      </c>
      <c r="T17" s="6">
        <v>-5000</v>
      </c>
      <c r="U17" s="6">
        <f t="shared" si="2"/>
        <v>1950</v>
      </c>
      <c r="V17" s="52"/>
      <c r="W17" s="57"/>
      <c r="X17" s="46"/>
      <c r="Y17" s="61"/>
      <c r="Z17" s="66">
        <f t="shared" si="3"/>
        <v>-6950</v>
      </c>
      <c r="AA17" s="61"/>
      <c r="AB17" s="66"/>
      <c r="AC17" s="61"/>
      <c r="AD17" s="66"/>
      <c r="AE17" s="61"/>
      <c r="AF17" s="52">
        <f t="shared" si="4"/>
        <v>-6950</v>
      </c>
      <c r="AG17" s="46">
        <f t="shared" si="5"/>
        <v>-5000</v>
      </c>
      <c r="AH17" s="51">
        <f t="shared" si="6"/>
        <v>-11950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7">
        <f t="shared" si="0"/>
        <v>0</v>
      </c>
      <c r="R22" s="144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7">
        <f t="shared" si="0"/>
        <v>0</v>
      </c>
      <c r="R24" s="144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7">
        <f t="shared" si="0"/>
        <v>0</v>
      </c>
      <c r="R25" s="144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7">
        <f t="shared" si="0"/>
        <v>0</v>
      </c>
      <c r="R26" s="144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7">
        <f t="shared" si="0"/>
        <v>0</v>
      </c>
      <c r="R27" s="144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f>5200-2280</f>
        <v>2920</v>
      </c>
      <c r="D28" s="6"/>
      <c r="E28" s="144"/>
      <c r="F28" s="144"/>
      <c r="G28" s="144">
        <v>9500</v>
      </c>
      <c r="H28" s="144"/>
      <c r="I28" s="144"/>
      <c r="J28" s="144"/>
      <c r="K28" s="144"/>
      <c r="L28" s="144"/>
      <c r="M28" s="144"/>
      <c r="N28" s="144"/>
      <c r="O28" s="144"/>
      <c r="P28" s="144"/>
      <c r="Q28" s="7">
        <f t="shared" si="0"/>
        <v>9500</v>
      </c>
      <c r="R28" s="144">
        <v>200</v>
      </c>
      <c r="S28" s="6">
        <f t="shared" si="1"/>
        <v>2720</v>
      </c>
      <c r="T28" s="6">
        <f>-40-100</f>
        <v>-140</v>
      </c>
      <c r="U28" s="6">
        <f t="shared" si="2"/>
        <v>2580</v>
      </c>
      <c r="V28" s="52"/>
      <c r="W28" s="57"/>
      <c r="X28" s="46"/>
      <c r="Y28" s="61"/>
      <c r="Z28" s="66">
        <f t="shared" si="3"/>
        <v>-2720</v>
      </c>
      <c r="AA28" s="61"/>
      <c r="AB28" s="67"/>
      <c r="AC28" s="61"/>
      <c r="AD28" s="66"/>
      <c r="AE28" s="61"/>
      <c r="AF28" s="52">
        <f t="shared" si="4"/>
        <v>-2720</v>
      </c>
      <c r="AG28" s="46">
        <f t="shared" si="5"/>
        <v>-140</v>
      </c>
      <c r="AH28" s="51">
        <f t="shared" si="6"/>
        <v>-2860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3500</v>
      </c>
      <c r="D29" s="6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7">
        <f t="shared" si="0"/>
        <v>0</v>
      </c>
      <c r="R29" s="144">
        <v>1500</v>
      </c>
      <c r="S29" s="6">
        <f t="shared" si="1"/>
        <v>2000</v>
      </c>
      <c r="T29" s="6">
        <f>860+100</f>
        <v>960</v>
      </c>
      <c r="U29" s="6">
        <f t="shared" si="2"/>
        <v>2960</v>
      </c>
      <c r="V29" s="52"/>
      <c r="W29" s="57"/>
      <c r="X29" s="46"/>
      <c r="Y29" s="61"/>
      <c r="Z29" s="66">
        <f t="shared" si="3"/>
        <v>-2000</v>
      </c>
      <c r="AA29" s="61"/>
      <c r="AB29" s="67"/>
      <c r="AC29" s="61"/>
      <c r="AD29" s="66"/>
      <c r="AE29" s="61"/>
      <c r="AF29" s="52">
        <f t="shared" si="4"/>
        <v>-2000</v>
      </c>
      <c r="AG29" s="46">
        <f t="shared" si="5"/>
        <v>960</v>
      </c>
      <c r="AH29" s="51">
        <f t="shared" si="6"/>
        <v>-1040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7">
        <f t="shared" si="0"/>
        <v>0</v>
      </c>
      <c r="R30" s="144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>
        <v>4100</v>
      </c>
      <c r="Q31" s="7">
        <f t="shared" si="0"/>
        <v>4100</v>
      </c>
      <c r="R31" s="144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f>29700-200</f>
        <v>29500</v>
      </c>
      <c r="D32" s="6"/>
      <c r="E32" s="144"/>
      <c r="F32" s="144"/>
      <c r="G32" s="144">
        <v>6420</v>
      </c>
      <c r="H32" s="144"/>
      <c r="I32" s="144"/>
      <c r="J32" s="144"/>
      <c r="K32" s="144"/>
      <c r="L32" s="144"/>
      <c r="M32" s="144"/>
      <c r="N32" s="144"/>
      <c r="O32" s="6"/>
      <c r="P32" s="6">
        <v>5875</v>
      </c>
      <c r="Q32" s="7">
        <f>SUM(E32:P32)</f>
        <v>12295</v>
      </c>
      <c r="R32" s="144"/>
      <c r="S32" s="6">
        <f t="shared" si="1"/>
        <v>29500</v>
      </c>
      <c r="T32" s="6">
        <v>-18280</v>
      </c>
      <c r="U32" s="6">
        <f t="shared" si="2"/>
        <v>11220</v>
      </c>
      <c r="V32" s="52"/>
      <c r="W32" s="57"/>
      <c r="X32" s="46"/>
      <c r="Y32" s="61"/>
      <c r="Z32" s="66">
        <f t="shared" si="3"/>
        <v>-29500</v>
      </c>
      <c r="AA32" s="61"/>
      <c r="AB32" s="67"/>
      <c r="AC32" s="61"/>
      <c r="AD32" s="66"/>
      <c r="AE32" s="61"/>
      <c r="AF32" s="52">
        <f t="shared" si="4"/>
        <v>-29500</v>
      </c>
      <c r="AG32" s="46">
        <f t="shared" si="5"/>
        <v>-18280</v>
      </c>
      <c r="AH32" s="51">
        <f t="shared" si="6"/>
        <v>-47780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7">
        <f t="shared" si="0"/>
        <v>0</v>
      </c>
      <c r="R33" s="144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2860</v>
      </c>
      <c r="D34" s="6"/>
      <c r="E34" s="144"/>
      <c r="F34" s="144"/>
      <c r="G34" s="144"/>
      <c r="H34" s="144"/>
      <c r="I34" s="144"/>
      <c r="J34" s="144"/>
      <c r="K34" s="6"/>
      <c r="L34" s="144"/>
      <c r="M34" s="144"/>
      <c r="N34" s="144"/>
      <c r="O34" s="144"/>
      <c r="P34" s="144"/>
      <c r="Q34" s="7">
        <f t="shared" si="0"/>
        <v>0</v>
      </c>
      <c r="R34" s="144"/>
      <c r="S34" s="6">
        <f t="shared" si="1"/>
        <v>2860</v>
      </c>
      <c r="T34" s="6">
        <v>2960</v>
      </c>
      <c r="U34" s="6">
        <f t="shared" si="2"/>
        <v>5820</v>
      </c>
      <c r="V34" s="52"/>
      <c r="W34" s="57"/>
      <c r="X34" s="46"/>
      <c r="Y34" s="61"/>
      <c r="Z34" s="66">
        <f t="shared" si="3"/>
        <v>-2860</v>
      </c>
      <c r="AA34" s="61"/>
      <c r="AB34" s="67"/>
      <c r="AC34" s="61"/>
      <c r="AD34" s="66"/>
      <c r="AE34" s="61"/>
      <c r="AF34" s="52">
        <f t="shared" si="4"/>
        <v>-2860</v>
      </c>
      <c r="AG34" s="46">
        <f t="shared" si="5"/>
        <v>2960</v>
      </c>
      <c r="AH34" s="51">
        <f t="shared" si="6"/>
        <v>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44"/>
      <c r="F35" s="144"/>
      <c r="G35" s="144"/>
      <c r="H35" s="144"/>
      <c r="I35" s="144"/>
      <c r="J35" s="144"/>
      <c r="K35" s="6"/>
      <c r="L35" s="144"/>
      <c r="M35" s="144"/>
      <c r="N35" s="144"/>
      <c r="O35" s="144"/>
      <c r="P35" s="144"/>
      <c r="Q35" s="7">
        <f t="shared" si="0"/>
        <v>0</v>
      </c>
      <c r="R35" s="144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f>340+200</f>
        <v>540</v>
      </c>
      <c r="D36" s="6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7">
        <f t="shared" si="0"/>
        <v>0</v>
      </c>
      <c r="R36" s="144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7">
        <f t="shared" si="0"/>
        <v>0</v>
      </c>
      <c r="R37" s="144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f>1340+2000</f>
        <v>3340</v>
      </c>
      <c r="D38" s="6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7">
        <f>SUM(E38:P38)</f>
        <v>0</v>
      </c>
      <c r="R38" s="144">
        <v>2000</v>
      </c>
      <c r="S38" s="6">
        <f t="shared" si="1"/>
        <v>1340</v>
      </c>
      <c r="T38" s="6">
        <v>-1340</v>
      </c>
      <c r="U38" s="6">
        <f t="shared" si="2"/>
        <v>0</v>
      </c>
      <c r="V38" s="52"/>
      <c r="W38" s="57"/>
      <c r="X38" s="46"/>
      <c r="Y38" s="61"/>
      <c r="Z38" s="66">
        <f t="shared" si="3"/>
        <v>-1340</v>
      </c>
      <c r="AA38" s="61"/>
      <c r="AB38" s="64"/>
      <c r="AC38" s="61"/>
      <c r="AD38" s="66"/>
      <c r="AE38" s="61"/>
      <c r="AF38" s="52">
        <f t="shared" si="4"/>
        <v>-1340</v>
      </c>
      <c r="AG38" s="46">
        <f t="shared" si="5"/>
        <v>-1340</v>
      </c>
      <c r="AH38" s="51">
        <f t="shared" si="6"/>
        <v>-2680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7">
        <f>SUM(E39:P39)</f>
        <v>0</v>
      </c>
      <c r="R39" s="144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f>8940+1280</f>
        <v>10220</v>
      </c>
      <c r="D40" s="6"/>
      <c r="E40" s="144"/>
      <c r="F40" s="144"/>
      <c r="G40" s="144"/>
      <c r="H40" s="27"/>
      <c r="I40" s="144"/>
      <c r="J40" s="144"/>
      <c r="K40" s="144"/>
      <c r="L40" s="144"/>
      <c r="M40" s="144"/>
      <c r="N40" s="144"/>
      <c r="O40" s="144"/>
      <c r="P40" s="144"/>
      <c r="Q40" s="7">
        <f>SUM(E40:P40)</f>
        <v>0</v>
      </c>
      <c r="R40" s="144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7">
        <f>SUM(E41:P41)</f>
        <v>0</v>
      </c>
      <c r="R41" s="144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3720</v>
      </c>
      <c r="D42" s="6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7">
        <f>SUM(E42:P42)</f>
        <v>0</v>
      </c>
      <c r="R42" s="144"/>
      <c r="S42" s="6">
        <f t="shared" si="1"/>
        <v>3720</v>
      </c>
      <c r="T42" s="6">
        <v>-1920</v>
      </c>
      <c r="U42" s="6">
        <f t="shared" si="2"/>
        <v>1800</v>
      </c>
      <c r="V42" s="52"/>
      <c r="W42" s="57"/>
      <c r="X42" s="46"/>
      <c r="Y42" s="61"/>
      <c r="Z42" s="66">
        <f t="shared" si="3"/>
        <v>-3720</v>
      </c>
      <c r="AA42" s="61"/>
      <c r="AB42" s="67"/>
      <c r="AC42" s="61"/>
      <c r="AD42" s="66"/>
      <c r="AE42" s="61"/>
      <c r="AF42" s="52">
        <f t="shared" si="4"/>
        <v>-3720</v>
      </c>
      <c r="AG42" s="46">
        <f t="shared" si="5"/>
        <v>-1920</v>
      </c>
      <c r="AH42" s="51">
        <f t="shared" si="6"/>
        <v>-5640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7">
        <f t="shared" si="0"/>
        <v>0</v>
      </c>
      <c r="R44" s="144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7">
        <f t="shared" si="0"/>
        <v>0</v>
      </c>
      <c r="R45" s="144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7">
        <f t="shared" si="0"/>
        <v>0</v>
      </c>
      <c r="R46" s="144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7">
        <f t="shared" si="0"/>
        <v>0</v>
      </c>
      <c r="R47" s="144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7">
        <f t="shared" si="0"/>
        <v>0</v>
      </c>
      <c r="R48" s="144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7">
        <f t="shared" si="0"/>
        <v>0</v>
      </c>
      <c r="R49" s="144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6300</v>
      </c>
      <c r="D50" s="6"/>
      <c r="E50" s="144"/>
      <c r="F50" s="144"/>
      <c r="G50" s="144">
        <v>9775</v>
      </c>
      <c r="H50" s="144"/>
      <c r="I50" s="144"/>
      <c r="J50" s="144"/>
      <c r="K50" s="144"/>
      <c r="L50" s="144"/>
      <c r="M50" s="144"/>
      <c r="N50" s="144"/>
      <c r="O50" s="144"/>
      <c r="P50" s="144"/>
      <c r="Q50" s="7">
        <f t="shared" si="0"/>
        <v>9775</v>
      </c>
      <c r="R50" s="144">
        <v>250</v>
      </c>
      <c r="S50" s="6">
        <f t="shared" si="1"/>
        <v>6050</v>
      </c>
      <c r="T50" s="6">
        <f>-12000+8615</f>
        <v>-3385</v>
      </c>
      <c r="U50" s="6">
        <f t="shared" si="2"/>
        <v>2665</v>
      </c>
      <c r="V50" s="52"/>
      <c r="W50" s="57"/>
      <c r="X50" s="46"/>
      <c r="Y50" s="61"/>
      <c r="Z50" s="66">
        <f t="shared" si="3"/>
        <v>-6050</v>
      </c>
      <c r="AA50" s="61"/>
      <c r="AB50" s="64"/>
      <c r="AC50" s="61"/>
      <c r="AD50" s="66"/>
      <c r="AE50" s="61"/>
      <c r="AF50" s="52">
        <f t="shared" si="4"/>
        <v>-6050</v>
      </c>
      <c r="AG50" s="46">
        <f t="shared" si="5"/>
        <v>-3385</v>
      </c>
      <c r="AH50" s="51">
        <f t="shared" si="6"/>
        <v>-9435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7">
        <f t="shared" si="0"/>
        <v>0</v>
      </c>
      <c r="R51" s="144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7">
        <f t="shared" si="0"/>
        <v>0</v>
      </c>
      <c r="R52" s="144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f>12475-450</f>
        <v>12025</v>
      </c>
      <c r="D53" s="6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7">
        <f t="shared" si="0"/>
        <v>0</v>
      </c>
      <c r="R53" s="144"/>
      <c r="S53" s="6">
        <f t="shared" si="1"/>
        <v>12025</v>
      </c>
      <c r="T53" s="6">
        <v>-11550</v>
      </c>
      <c r="U53" s="6">
        <f t="shared" si="2"/>
        <v>475</v>
      </c>
      <c r="V53" s="52"/>
      <c r="W53" s="57"/>
      <c r="X53" s="46"/>
      <c r="Y53" s="61"/>
      <c r="Z53" s="66">
        <f t="shared" si="3"/>
        <v>-12025</v>
      </c>
      <c r="AA53" s="61"/>
      <c r="AB53" s="67"/>
      <c r="AC53" s="61"/>
      <c r="AD53" s="66"/>
      <c r="AE53" s="61"/>
      <c r="AF53" s="52">
        <f t="shared" si="4"/>
        <v>-12025</v>
      </c>
      <c r="AG53" s="46">
        <f t="shared" si="5"/>
        <v>-11550</v>
      </c>
      <c r="AH53" s="51">
        <f t="shared" si="6"/>
        <v>-23575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7">
        <f t="shared" si="0"/>
        <v>0</v>
      </c>
      <c r="R54" s="144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7">
        <f t="shared" si="0"/>
        <v>0</v>
      </c>
      <c r="R55" s="144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7">
        <f>SUM(E56:P56)</f>
        <v>0</v>
      </c>
      <c r="R56" s="144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f>10890+450</f>
        <v>11340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>
        <v>450</v>
      </c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7">
        <f t="shared" si="0"/>
        <v>0</v>
      </c>
      <c r="R61" s="144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7">
        <f t="shared" si="0"/>
        <v>0</v>
      </c>
      <c r="R62" s="143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7">
        <f t="shared" si="0"/>
        <v>0</v>
      </c>
      <c r="R63" s="143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7">
        <f t="shared" si="0"/>
        <v>0</v>
      </c>
      <c r="R64" s="143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7">
        <f t="shared" si="0"/>
        <v>0</v>
      </c>
      <c r="R65" s="143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45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7">
        <f t="shared" si="0"/>
        <v>0</v>
      </c>
      <c r="R67" s="144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7">
        <f t="shared" si="0"/>
        <v>0</v>
      </c>
      <c r="R68" s="144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20225</v>
      </c>
      <c r="D69" s="144">
        <v>8550</v>
      </c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7">
        <f t="shared" si="0"/>
        <v>0</v>
      </c>
      <c r="R69" s="144">
        <f>1000+500+2000+1000</f>
        <v>4500</v>
      </c>
      <c r="S69" s="6">
        <f t="shared" si="1"/>
        <v>24275</v>
      </c>
      <c r="T69" s="6">
        <v>-16950</v>
      </c>
      <c r="U69" s="6">
        <f t="shared" si="2"/>
        <v>7325</v>
      </c>
      <c r="V69" s="52"/>
      <c r="W69" s="57"/>
      <c r="X69" s="46"/>
      <c r="Y69" s="61"/>
      <c r="Z69" s="66">
        <f t="shared" si="3"/>
        <v>-24275</v>
      </c>
      <c r="AA69" s="61"/>
      <c r="AB69" s="64"/>
      <c r="AC69" s="61"/>
      <c r="AD69" s="66"/>
      <c r="AE69" s="61"/>
      <c r="AF69" s="52">
        <f t="shared" si="4"/>
        <v>-24275</v>
      </c>
      <c r="AG69" s="46">
        <f t="shared" si="5"/>
        <v>-16950</v>
      </c>
      <c r="AH69" s="51">
        <f t="shared" si="6"/>
        <v>-41225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14600</v>
      </c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7">
        <f t="shared" si="0"/>
        <v>0</v>
      </c>
      <c r="R70" s="144">
        <v>5000</v>
      </c>
      <c r="S70" s="6">
        <f t="shared" si="1"/>
        <v>9600</v>
      </c>
      <c r="T70" s="6">
        <v>-9425</v>
      </c>
      <c r="U70" s="6">
        <f t="shared" si="2"/>
        <v>175</v>
      </c>
      <c r="V70" s="52"/>
      <c r="W70" s="57"/>
      <c r="X70" s="46"/>
      <c r="Y70" s="61"/>
      <c r="Z70" s="66">
        <f t="shared" si="3"/>
        <v>-9600</v>
      </c>
      <c r="AA70" s="61"/>
      <c r="AB70" s="67"/>
      <c r="AC70" s="61"/>
      <c r="AD70" s="66"/>
      <c r="AE70" s="61"/>
      <c r="AF70" s="52">
        <f t="shared" si="4"/>
        <v>-9600</v>
      </c>
      <c r="AG70" s="46">
        <f t="shared" si="5"/>
        <v>-9425</v>
      </c>
      <c r="AH70" s="51">
        <f t="shared" si="6"/>
        <v>-19025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39500</v>
      </c>
      <c r="D71" s="144">
        <f>9800+5000</f>
        <v>14800</v>
      </c>
      <c r="E71" s="144"/>
      <c r="F71" s="144"/>
      <c r="G71" s="144">
        <v>17300</v>
      </c>
      <c r="H71" s="144"/>
      <c r="I71" s="144"/>
      <c r="J71" s="144"/>
      <c r="K71" s="144"/>
      <c r="L71" s="144"/>
      <c r="M71" s="144"/>
      <c r="N71" s="144"/>
      <c r="O71" s="144"/>
      <c r="P71" s="144"/>
      <c r="Q71" s="7">
        <f t="shared" si="0"/>
        <v>17300</v>
      </c>
      <c r="R71" s="144">
        <f>250+3000+7000+2000</f>
        <v>12250</v>
      </c>
      <c r="S71" s="6">
        <f t="shared" si="1"/>
        <v>42050</v>
      </c>
      <c r="T71" s="6">
        <v>-27500</v>
      </c>
      <c r="U71" s="6">
        <f t="shared" si="2"/>
        <v>14550</v>
      </c>
      <c r="V71" s="52"/>
      <c r="W71" s="57"/>
      <c r="X71" s="46"/>
      <c r="Y71" s="61"/>
      <c r="Z71" s="66">
        <f t="shared" si="3"/>
        <v>-42050</v>
      </c>
      <c r="AA71" s="61"/>
      <c r="AB71" s="64"/>
      <c r="AC71" s="61"/>
      <c r="AD71" s="66"/>
      <c r="AE71" s="61"/>
      <c r="AF71" s="52">
        <f t="shared" si="4"/>
        <v>-42050</v>
      </c>
      <c r="AG71" s="46">
        <f t="shared" si="5"/>
        <v>-27500</v>
      </c>
      <c r="AH71" s="51">
        <f t="shared" si="6"/>
        <v>-69550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44">
        <f>SUM(C7:C72)</f>
        <v>414005</v>
      </c>
      <c r="D73" s="144">
        <f t="shared" ref="D73:V73" si="11">SUM(D7:D72)</f>
        <v>38200</v>
      </c>
      <c r="E73" s="144">
        <f t="shared" si="11"/>
        <v>0</v>
      </c>
      <c r="F73" s="144">
        <f t="shared" si="11"/>
        <v>0</v>
      </c>
      <c r="G73" s="144">
        <f t="shared" si="11"/>
        <v>42995</v>
      </c>
      <c r="H73" s="27">
        <f t="shared" si="11"/>
        <v>0</v>
      </c>
      <c r="I73" s="144">
        <f t="shared" si="11"/>
        <v>0</v>
      </c>
      <c r="J73" s="144">
        <f t="shared" si="11"/>
        <v>0</v>
      </c>
      <c r="K73" s="144">
        <f t="shared" si="11"/>
        <v>0</v>
      </c>
      <c r="L73" s="144">
        <f t="shared" si="11"/>
        <v>0</v>
      </c>
      <c r="M73" s="144">
        <f t="shared" si="11"/>
        <v>0</v>
      </c>
      <c r="N73" s="144">
        <f t="shared" si="11"/>
        <v>0</v>
      </c>
      <c r="O73" s="144">
        <f t="shared" si="11"/>
        <v>0</v>
      </c>
      <c r="P73" s="144">
        <f t="shared" si="11"/>
        <v>9975</v>
      </c>
      <c r="Q73" s="144">
        <f t="shared" si="11"/>
        <v>52970</v>
      </c>
      <c r="R73" s="144">
        <f t="shared" si="11"/>
        <v>41350</v>
      </c>
      <c r="S73" s="144">
        <f t="shared" si="11"/>
        <v>410855</v>
      </c>
      <c r="T73" s="144">
        <f t="shared" si="11"/>
        <v>-286670</v>
      </c>
      <c r="U73" s="144">
        <f t="shared" si="11"/>
        <v>124185</v>
      </c>
      <c r="V73" s="144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-410855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-410855</v>
      </c>
      <c r="AG73" s="43">
        <f t="shared" si="12"/>
        <v>-286670</v>
      </c>
      <c r="AH73" s="43">
        <f t="shared" si="12"/>
        <v>-697525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52970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</f>
        <v>518375</v>
      </c>
      <c r="S74" s="211"/>
      <c r="T74" s="212">
        <f>R74+R75</f>
        <v>1278160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38200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</f>
        <v>759785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41350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</f>
        <v>838515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</f>
        <v>158900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180400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45625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45545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658115</v>
      </c>
      <c r="S80" s="197"/>
      <c r="T80" s="22"/>
      <c r="U80" s="22"/>
      <c r="V80" s="2"/>
      <c r="X80" s="63">
        <f>SUM(X77:X79)</f>
        <v>91170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46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17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15000</v>
      </c>
      <c r="R118" s="63">
        <f t="shared" si="14"/>
        <v>155600</v>
      </c>
      <c r="S118" s="63"/>
      <c r="T118" s="63">
        <f>SUM(T87:T117)</f>
        <v>838515</v>
      </c>
      <c r="U118" s="63"/>
      <c r="V118" s="63">
        <f>SUM(V87:V117)</f>
        <v>518375</v>
      </c>
      <c r="W118" s="63">
        <f>SUM(W87:W117)</f>
        <v>759785</v>
      </c>
      <c r="X118" s="36">
        <f>SUM(V118:W118)</f>
        <v>1278160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7" activePane="bottomRight" state="frozen"/>
      <selection activeCell="O32" sqref="O32"/>
      <selection pane="topRight" activeCell="O32" sqref="O32"/>
      <selection pane="bottomLeft" activeCell="O32" sqref="O32"/>
      <selection pane="bottomRight" activeCell="K73" sqref="K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176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171</v>
      </c>
      <c r="P6" s="30" t="s">
        <v>175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12900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100</v>
      </c>
      <c r="S7" s="6">
        <f>C7+D7-R7</f>
        <v>12800</v>
      </c>
      <c r="T7" s="34">
        <v>-9150</v>
      </c>
      <c r="U7" s="6">
        <f>S7+T7</f>
        <v>3650</v>
      </c>
      <c r="V7" s="52"/>
      <c r="W7" s="57"/>
      <c r="X7" s="46"/>
      <c r="Y7" s="65"/>
      <c r="Z7" s="66">
        <f>W7-S7</f>
        <v>-12800</v>
      </c>
      <c r="AA7" s="65"/>
      <c r="AB7" s="67"/>
      <c r="AC7" s="65"/>
      <c r="AD7" s="47"/>
      <c r="AE7" s="61"/>
      <c r="AF7" s="52">
        <f>SUM(Y7:AE7)</f>
        <v>-12800</v>
      </c>
      <c r="AG7" s="46">
        <f>U7+AF7</f>
        <v>-9150</v>
      </c>
      <c r="AH7" s="51">
        <f>AG7-S7</f>
        <v>-21950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33750</v>
      </c>
      <c r="D8" s="6">
        <v>8050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/>
      <c r="S8" s="6">
        <f t="shared" ref="S8:S71" si="1">C8+D8-R8</f>
        <v>41800</v>
      </c>
      <c r="T8" s="6">
        <v>-24350</v>
      </c>
      <c r="U8" s="6">
        <f t="shared" ref="U8:U71" si="2">S8+T8</f>
        <v>17450</v>
      </c>
      <c r="V8" s="52"/>
      <c r="W8" s="57"/>
      <c r="X8" s="46"/>
      <c r="Y8" s="61"/>
      <c r="Z8" s="66">
        <f t="shared" ref="Z8:Z71" si="3">W8-S8</f>
        <v>-41800</v>
      </c>
      <c r="AA8" s="61"/>
      <c r="AB8" s="67"/>
      <c r="AC8" s="61"/>
      <c r="AD8" s="66"/>
      <c r="AE8" s="61"/>
      <c r="AF8" s="52">
        <f t="shared" ref="AF8:AF71" si="4">SUM(Y8:AE8)</f>
        <v>-41800</v>
      </c>
      <c r="AG8" s="46">
        <f t="shared" ref="AG8:AG71" si="5">U8+AF8</f>
        <v>-24350</v>
      </c>
      <c r="AH8" s="51">
        <f t="shared" ref="AH8:AH71" si="6">AG8-S8</f>
        <v>-66150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7000</v>
      </c>
      <c r="D11" s="6">
        <v>7000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400+1000</f>
        <v>1400</v>
      </c>
      <c r="S11" s="6">
        <f t="shared" si="1"/>
        <v>12600</v>
      </c>
      <c r="T11" s="6">
        <v>-3750</v>
      </c>
      <c r="U11" s="6">
        <f t="shared" si="2"/>
        <v>8850</v>
      </c>
      <c r="V11" s="52"/>
      <c r="W11" s="57"/>
      <c r="X11" s="46"/>
      <c r="Y11" s="61"/>
      <c r="Z11" s="66">
        <f t="shared" si="3"/>
        <v>-12600</v>
      </c>
      <c r="AA11" s="61"/>
      <c r="AB11" s="67"/>
      <c r="AC11" s="61"/>
      <c r="AD11" s="66"/>
      <c r="AE11" s="61"/>
      <c r="AF11" s="52">
        <f t="shared" si="4"/>
        <v>-12600</v>
      </c>
      <c r="AG11" s="46">
        <f t="shared" si="5"/>
        <v>-3750</v>
      </c>
      <c r="AH11" s="51">
        <f t="shared" si="6"/>
        <v>-16350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-750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250</v>
      </c>
      <c r="S12" s="6">
        <f t="shared" si="1"/>
        <v>-1000</v>
      </c>
      <c r="T12" s="6">
        <v>4700</v>
      </c>
      <c r="U12" s="6">
        <f t="shared" si="2"/>
        <v>3700</v>
      </c>
      <c r="V12" s="52"/>
      <c r="W12" s="57"/>
      <c r="X12" s="46"/>
      <c r="Y12" s="61"/>
      <c r="Z12" s="66">
        <f t="shared" si="3"/>
        <v>1000</v>
      </c>
      <c r="AA12" s="61"/>
      <c r="AB12" s="67"/>
      <c r="AC12" s="61"/>
      <c r="AD12" s="66"/>
      <c r="AE12" s="61"/>
      <c r="AF12" s="52">
        <f t="shared" si="4"/>
        <v>1000</v>
      </c>
      <c r="AG12" s="46">
        <f t="shared" si="5"/>
        <v>4700</v>
      </c>
      <c r="AH12" s="51">
        <f t="shared" si="6"/>
        <v>5700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32210</v>
      </c>
      <c r="D14" s="6">
        <f>10000+10300</f>
        <v>20300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3500+6000+1500+5000+1000+1000+600+2000</f>
        <v>20600</v>
      </c>
      <c r="S14" s="6">
        <f t="shared" si="1"/>
        <v>31910</v>
      </c>
      <c r="T14" s="6">
        <v>-5760</v>
      </c>
      <c r="U14" s="6">
        <f t="shared" si="2"/>
        <v>26150</v>
      </c>
      <c r="V14" s="52"/>
      <c r="W14" s="57"/>
      <c r="X14" s="46"/>
      <c r="Y14" s="61"/>
      <c r="Z14" s="66">
        <f t="shared" si="3"/>
        <v>-31910</v>
      </c>
      <c r="AA14" s="61"/>
      <c r="AB14" s="66"/>
      <c r="AC14" s="61"/>
      <c r="AD14" s="66"/>
      <c r="AE14" s="61"/>
      <c r="AF14" s="52">
        <f t="shared" si="4"/>
        <v>-31910</v>
      </c>
      <c r="AG14" s="46">
        <f t="shared" si="5"/>
        <v>-5760</v>
      </c>
      <c r="AH14" s="51">
        <f t="shared" si="6"/>
        <v>-37670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10400</v>
      </c>
      <c r="D16" s="6">
        <v>3000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13400</v>
      </c>
      <c r="T16" s="34">
        <v>-10050</v>
      </c>
      <c r="U16" s="6">
        <f t="shared" si="2"/>
        <v>3350</v>
      </c>
      <c r="V16" s="52"/>
      <c r="W16" s="57"/>
      <c r="X16" s="46"/>
      <c r="Y16" s="61"/>
      <c r="Z16" s="66">
        <f t="shared" si="3"/>
        <v>-13400</v>
      </c>
      <c r="AA16" s="61"/>
      <c r="AB16" s="67"/>
      <c r="AC16" s="61"/>
      <c r="AD16" s="47"/>
      <c r="AE16" s="61"/>
      <c r="AF16" s="52">
        <f t="shared" si="4"/>
        <v>-13400</v>
      </c>
      <c r="AG16" s="46">
        <f t="shared" si="5"/>
        <v>-10050</v>
      </c>
      <c r="AH16" s="51">
        <f t="shared" si="6"/>
        <v>-23450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6950</v>
      </c>
      <c r="D17" s="6">
        <v>6600</v>
      </c>
      <c r="E17" s="6"/>
      <c r="F17" s="6"/>
      <c r="G17" s="6"/>
      <c r="H17" s="6"/>
      <c r="I17" s="6"/>
      <c r="J17" s="6"/>
      <c r="K17" s="6">
        <v>1000</v>
      </c>
      <c r="L17" s="6"/>
      <c r="M17" s="6"/>
      <c r="N17" s="6"/>
      <c r="O17" s="6"/>
      <c r="P17" s="6"/>
      <c r="Q17" s="7">
        <f t="shared" si="0"/>
        <v>1000</v>
      </c>
      <c r="R17" s="6"/>
      <c r="S17" s="6">
        <f t="shared" si="1"/>
        <v>13550</v>
      </c>
      <c r="T17" s="6">
        <v>-5000</v>
      </c>
      <c r="U17" s="6">
        <f t="shared" si="2"/>
        <v>8550</v>
      </c>
      <c r="V17" s="52"/>
      <c r="W17" s="57"/>
      <c r="X17" s="46"/>
      <c r="Y17" s="61"/>
      <c r="Z17" s="66">
        <f t="shared" si="3"/>
        <v>-13550</v>
      </c>
      <c r="AA17" s="61"/>
      <c r="AB17" s="66"/>
      <c r="AC17" s="61"/>
      <c r="AD17" s="66"/>
      <c r="AE17" s="61"/>
      <c r="AF17" s="52">
        <f t="shared" si="4"/>
        <v>-13550</v>
      </c>
      <c r="AG17" s="46">
        <f t="shared" si="5"/>
        <v>-5000</v>
      </c>
      <c r="AH17" s="51">
        <f t="shared" si="6"/>
        <v>-18550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7">
        <f t="shared" si="0"/>
        <v>0</v>
      </c>
      <c r="R22" s="144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7">
        <f t="shared" si="0"/>
        <v>0</v>
      </c>
      <c r="R24" s="144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7">
        <f t="shared" si="0"/>
        <v>0</v>
      </c>
      <c r="R25" s="144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7">
        <f t="shared" si="0"/>
        <v>0</v>
      </c>
      <c r="R26" s="144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7">
        <f t="shared" si="0"/>
        <v>0</v>
      </c>
      <c r="R27" s="144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2720</v>
      </c>
      <c r="D28" s="6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7">
        <f t="shared" si="0"/>
        <v>0</v>
      </c>
      <c r="R28" s="144"/>
      <c r="S28" s="6">
        <f t="shared" si="1"/>
        <v>2720</v>
      </c>
      <c r="T28" s="6">
        <f>-40-100</f>
        <v>-140</v>
      </c>
      <c r="U28" s="6">
        <f t="shared" si="2"/>
        <v>2580</v>
      </c>
      <c r="V28" s="52"/>
      <c r="W28" s="57"/>
      <c r="X28" s="46"/>
      <c r="Y28" s="61"/>
      <c r="Z28" s="66">
        <f t="shared" si="3"/>
        <v>-2720</v>
      </c>
      <c r="AA28" s="61"/>
      <c r="AB28" s="67"/>
      <c r="AC28" s="61"/>
      <c r="AD28" s="66"/>
      <c r="AE28" s="61"/>
      <c r="AF28" s="52">
        <f t="shared" si="4"/>
        <v>-2720</v>
      </c>
      <c r="AG28" s="46">
        <f t="shared" si="5"/>
        <v>-140</v>
      </c>
      <c r="AH28" s="51">
        <f t="shared" si="6"/>
        <v>-2860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f>2000-20</f>
        <v>1980</v>
      </c>
      <c r="D29" s="6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7">
        <f t="shared" si="0"/>
        <v>0</v>
      </c>
      <c r="R29" s="144"/>
      <c r="S29" s="6">
        <f t="shared" si="1"/>
        <v>1980</v>
      </c>
      <c r="T29" s="6">
        <f>860+100</f>
        <v>960</v>
      </c>
      <c r="U29" s="6">
        <f t="shared" si="2"/>
        <v>2940</v>
      </c>
      <c r="V29" s="52"/>
      <c r="W29" s="57"/>
      <c r="X29" s="46"/>
      <c r="Y29" s="61"/>
      <c r="Z29" s="66">
        <f t="shared" si="3"/>
        <v>-1980</v>
      </c>
      <c r="AA29" s="61"/>
      <c r="AB29" s="67"/>
      <c r="AC29" s="61"/>
      <c r="AD29" s="66"/>
      <c r="AE29" s="61"/>
      <c r="AF29" s="52">
        <f t="shared" si="4"/>
        <v>-1980</v>
      </c>
      <c r="AG29" s="46">
        <f t="shared" si="5"/>
        <v>960</v>
      </c>
      <c r="AH29" s="51">
        <f t="shared" si="6"/>
        <v>-1020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7">
        <f t="shared" si="0"/>
        <v>0</v>
      </c>
      <c r="R30" s="144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44"/>
      <c r="F31" s="144"/>
      <c r="G31" s="144"/>
      <c r="H31" s="144"/>
      <c r="I31" s="144"/>
      <c r="J31" s="144"/>
      <c r="K31" s="144">
        <v>1800</v>
      </c>
      <c r="L31" s="144"/>
      <c r="M31" s="144"/>
      <c r="N31" s="144"/>
      <c r="O31" s="144"/>
      <c r="P31" s="144"/>
      <c r="Q31" s="7">
        <f t="shared" si="0"/>
        <v>1800</v>
      </c>
      <c r="R31" s="144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29500</v>
      </c>
      <c r="D32" s="6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6"/>
      <c r="P32" s="6"/>
      <c r="Q32" s="7">
        <f>SUM(E32:P32)</f>
        <v>0</v>
      </c>
      <c r="R32" s="144"/>
      <c r="S32" s="6">
        <f t="shared" si="1"/>
        <v>29500</v>
      </c>
      <c r="T32" s="6">
        <v>-18280</v>
      </c>
      <c r="U32" s="6">
        <f t="shared" si="2"/>
        <v>11220</v>
      </c>
      <c r="V32" s="52"/>
      <c r="W32" s="57"/>
      <c r="X32" s="46"/>
      <c r="Y32" s="61"/>
      <c r="Z32" s="66">
        <f t="shared" si="3"/>
        <v>-29500</v>
      </c>
      <c r="AA32" s="61"/>
      <c r="AB32" s="67"/>
      <c r="AC32" s="61"/>
      <c r="AD32" s="66"/>
      <c r="AE32" s="61"/>
      <c r="AF32" s="52">
        <f t="shared" si="4"/>
        <v>-29500</v>
      </c>
      <c r="AG32" s="46">
        <f t="shared" si="5"/>
        <v>-18280</v>
      </c>
      <c r="AH32" s="51">
        <f t="shared" si="6"/>
        <v>-47780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7">
        <f t="shared" si="0"/>
        <v>0</v>
      </c>
      <c r="R33" s="144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2860</v>
      </c>
      <c r="D34" s="6"/>
      <c r="E34" s="144"/>
      <c r="F34" s="144"/>
      <c r="G34" s="144"/>
      <c r="H34" s="144"/>
      <c r="I34" s="144"/>
      <c r="J34" s="144"/>
      <c r="K34" s="6"/>
      <c r="L34" s="144"/>
      <c r="M34" s="144"/>
      <c r="N34" s="144"/>
      <c r="O34" s="144"/>
      <c r="P34" s="144"/>
      <c r="Q34" s="7">
        <f t="shared" si="0"/>
        <v>0</v>
      </c>
      <c r="R34" s="144"/>
      <c r="S34" s="6">
        <f t="shared" si="1"/>
        <v>2860</v>
      </c>
      <c r="T34" s="6">
        <v>2960</v>
      </c>
      <c r="U34" s="6">
        <f t="shared" si="2"/>
        <v>5820</v>
      </c>
      <c r="V34" s="52"/>
      <c r="W34" s="57"/>
      <c r="X34" s="46"/>
      <c r="Y34" s="61"/>
      <c r="Z34" s="66">
        <f t="shared" si="3"/>
        <v>-2860</v>
      </c>
      <c r="AA34" s="61"/>
      <c r="AB34" s="67"/>
      <c r="AC34" s="61"/>
      <c r="AD34" s="66"/>
      <c r="AE34" s="61"/>
      <c r="AF34" s="52">
        <f t="shared" si="4"/>
        <v>-2860</v>
      </c>
      <c r="AG34" s="46">
        <f t="shared" si="5"/>
        <v>2960</v>
      </c>
      <c r="AH34" s="51">
        <f t="shared" si="6"/>
        <v>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44"/>
      <c r="F35" s="144"/>
      <c r="G35" s="144"/>
      <c r="H35" s="144"/>
      <c r="I35" s="144"/>
      <c r="J35" s="144"/>
      <c r="K35" s="6">
        <v>5325</v>
      </c>
      <c r="L35" s="144"/>
      <c r="M35" s="144"/>
      <c r="N35" s="144"/>
      <c r="O35" s="144"/>
      <c r="P35" s="144"/>
      <c r="Q35" s="7">
        <f t="shared" si="0"/>
        <v>5325</v>
      </c>
      <c r="R35" s="144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7">
        <f t="shared" si="0"/>
        <v>0</v>
      </c>
      <c r="R36" s="144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7">
        <f t="shared" si="0"/>
        <v>0</v>
      </c>
      <c r="R37" s="144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1340</v>
      </c>
      <c r="D38" s="6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7">
        <f>SUM(E38:P38)</f>
        <v>0</v>
      </c>
      <c r="R38" s="144"/>
      <c r="S38" s="6">
        <f t="shared" si="1"/>
        <v>1340</v>
      </c>
      <c r="T38" s="6">
        <v>-1340</v>
      </c>
      <c r="U38" s="6">
        <f t="shared" si="2"/>
        <v>0</v>
      </c>
      <c r="V38" s="52"/>
      <c r="W38" s="57"/>
      <c r="X38" s="46"/>
      <c r="Y38" s="61"/>
      <c r="Z38" s="66">
        <f t="shared" si="3"/>
        <v>-1340</v>
      </c>
      <c r="AA38" s="61"/>
      <c r="AB38" s="64"/>
      <c r="AC38" s="61"/>
      <c r="AD38" s="66"/>
      <c r="AE38" s="61"/>
      <c r="AF38" s="52">
        <f t="shared" si="4"/>
        <v>-1340</v>
      </c>
      <c r="AG38" s="46">
        <f t="shared" si="5"/>
        <v>-1340</v>
      </c>
      <c r="AH38" s="51">
        <f t="shared" si="6"/>
        <v>-2680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7">
        <f>SUM(E39:P39)</f>
        <v>0</v>
      </c>
      <c r="R39" s="144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f>10220+20</f>
        <v>10240</v>
      </c>
      <c r="D40" s="6"/>
      <c r="E40" s="144"/>
      <c r="F40" s="144"/>
      <c r="G40" s="144"/>
      <c r="H40" s="27"/>
      <c r="I40" s="144"/>
      <c r="J40" s="144"/>
      <c r="K40" s="144"/>
      <c r="L40" s="144"/>
      <c r="M40" s="144"/>
      <c r="N40" s="144"/>
      <c r="O40" s="144"/>
      <c r="P40" s="144"/>
      <c r="Q40" s="7">
        <f>SUM(E40:P40)</f>
        <v>0</v>
      </c>
      <c r="R40" s="144">
        <v>20</v>
      </c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7">
        <f>SUM(E41:P41)</f>
        <v>0</v>
      </c>
      <c r="R41" s="144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3720</v>
      </c>
      <c r="D42" s="6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7">
        <f>SUM(E42:P42)</f>
        <v>0</v>
      </c>
      <c r="R42" s="144"/>
      <c r="S42" s="6">
        <f t="shared" si="1"/>
        <v>3720</v>
      </c>
      <c r="T42" s="6">
        <v>-1920</v>
      </c>
      <c r="U42" s="6">
        <f t="shared" si="2"/>
        <v>1800</v>
      </c>
      <c r="V42" s="52"/>
      <c r="W42" s="57"/>
      <c r="X42" s="46"/>
      <c r="Y42" s="61"/>
      <c r="Z42" s="66">
        <f t="shared" si="3"/>
        <v>-3720</v>
      </c>
      <c r="AA42" s="61"/>
      <c r="AB42" s="67"/>
      <c r="AC42" s="61"/>
      <c r="AD42" s="66"/>
      <c r="AE42" s="61"/>
      <c r="AF42" s="52">
        <f t="shared" si="4"/>
        <v>-3720</v>
      </c>
      <c r="AG42" s="46">
        <f t="shared" si="5"/>
        <v>-1920</v>
      </c>
      <c r="AH42" s="51">
        <f t="shared" si="6"/>
        <v>-5640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7">
        <f t="shared" si="0"/>
        <v>0</v>
      </c>
      <c r="R44" s="144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7">
        <f t="shared" si="0"/>
        <v>0</v>
      </c>
      <c r="R45" s="144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7">
        <f t="shared" si="0"/>
        <v>0</v>
      </c>
      <c r="R46" s="144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7">
        <f t="shared" si="0"/>
        <v>0</v>
      </c>
      <c r="R47" s="144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7">
        <f t="shared" si="0"/>
        <v>0</v>
      </c>
      <c r="R48" s="144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7">
        <f t="shared" si="0"/>
        <v>0</v>
      </c>
      <c r="R49" s="144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6050</v>
      </c>
      <c r="D50" s="6">
        <v>5000</v>
      </c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7">
        <f t="shared" si="0"/>
        <v>0</v>
      </c>
      <c r="R50" s="144"/>
      <c r="S50" s="6">
        <f t="shared" si="1"/>
        <v>11050</v>
      </c>
      <c r="T50" s="6">
        <f>-12000+8615</f>
        <v>-3385</v>
      </c>
      <c r="U50" s="6">
        <f t="shared" si="2"/>
        <v>7665</v>
      </c>
      <c r="V50" s="52"/>
      <c r="W50" s="57"/>
      <c r="X50" s="46"/>
      <c r="Y50" s="61"/>
      <c r="Z50" s="66">
        <f t="shared" si="3"/>
        <v>-11050</v>
      </c>
      <c r="AA50" s="61"/>
      <c r="AB50" s="64"/>
      <c r="AC50" s="61"/>
      <c r="AD50" s="66"/>
      <c r="AE50" s="61"/>
      <c r="AF50" s="52">
        <f t="shared" si="4"/>
        <v>-11050</v>
      </c>
      <c r="AG50" s="46">
        <f t="shared" si="5"/>
        <v>-3385</v>
      </c>
      <c r="AH50" s="51">
        <f t="shared" si="6"/>
        <v>-14435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7">
        <f t="shared" si="0"/>
        <v>0</v>
      </c>
      <c r="R51" s="144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7">
        <f t="shared" si="0"/>
        <v>0</v>
      </c>
      <c r="R52" s="144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12025</v>
      </c>
      <c r="D53" s="6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7">
        <f t="shared" si="0"/>
        <v>0</v>
      </c>
      <c r="R53" s="144"/>
      <c r="S53" s="6">
        <f t="shared" si="1"/>
        <v>12025</v>
      </c>
      <c r="T53" s="6">
        <v>-11550</v>
      </c>
      <c r="U53" s="6">
        <f t="shared" si="2"/>
        <v>475</v>
      </c>
      <c r="V53" s="52"/>
      <c r="W53" s="57"/>
      <c r="X53" s="46"/>
      <c r="Y53" s="61"/>
      <c r="Z53" s="66">
        <f t="shared" si="3"/>
        <v>-12025</v>
      </c>
      <c r="AA53" s="61"/>
      <c r="AB53" s="67"/>
      <c r="AC53" s="61"/>
      <c r="AD53" s="66"/>
      <c r="AE53" s="61"/>
      <c r="AF53" s="52">
        <f t="shared" si="4"/>
        <v>-12025</v>
      </c>
      <c r="AG53" s="46">
        <f t="shared" si="5"/>
        <v>-11550</v>
      </c>
      <c r="AH53" s="51">
        <f t="shared" si="6"/>
        <v>-23575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7">
        <f t="shared" si="0"/>
        <v>0</v>
      </c>
      <c r="R54" s="144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7">
        <f t="shared" si="0"/>
        <v>0</v>
      </c>
      <c r="R55" s="144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7">
        <f>SUM(E56:P56)</f>
        <v>0</v>
      </c>
      <c r="R56" s="144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7">
        <f t="shared" si="0"/>
        <v>0</v>
      </c>
      <c r="R61" s="144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7">
        <f t="shared" si="0"/>
        <v>0</v>
      </c>
      <c r="R62" s="143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7">
        <f t="shared" si="0"/>
        <v>0</v>
      </c>
      <c r="R63" s="143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7">
        <f t="shared" si="0"/>
        <v>0</v>
      </c>
      <c r="R64" s="143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7">
        <f t="shared" si="0"/>
        <v>0</v>
      </c>
      <c r="R65" s="143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45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7">
        <f t="shared" si="0"/>
        <v>0</v>
      </c>
      <c r="R67" s="144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7">
        <f t="shared" si="0"/>
        <v>0</v>
      </c>
      <c r="R68" s="144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24275</v>
      </c>
      <c r="D69" s="144">
        <v>5400</v>
      </c>
      <c r="E69" s="144"/>
      <c r="F69" s="144"/>
      <c r="G69" s="144"/>
      <c r="H69" s="144">
        <v>2425</v>
      </c>
      <c r="I69" s="144"/>
      <c r="J69" s="144"/>
      <c r="K69" s="144"/>
      <c r="L69" s="144"/>
      <c r="M69" s="144"/>
      <c r="N69" s="144"/>
      <c r="O69" s="144"/>
      <c r="P69" s="144"/>
      <c r="Q69" s="7">
        <f t="shared" si="0"/>
        <v>2425</v>
      </c>
      <c r="R69" s="144">
        <f>3750+125+125</f>
        <v>4000</v>
      </c>
      <c r="S69" s="6">
        <f t="shared" si="1"/>
        <v>25675</v>
      </c>
      <c r="T69" s="6">
        <v>-16950</v>
      </c>
      <c r="U69" s="6">
        <f t="shared" si="2"/>
        <v>8725</v>
      </c>
      <c r="V69" s="52"/>
      <c r="W69" s="57"/>
      <c r="X69" s="46"/>
      <c r="Y69" s="61"/>
      <c r="Z69" s="66">
        <f t="shared" si="3"/>
        <v>-25675</v>
      </c>
      <c r="AA69" s="61"/>
      <c r="AB69" s="64"/>
      <c r="AC69" s="61"/>
      <c r="AD69" s="66"/>
      <c r="AE69" s="61"/>
      <c r="AF69" s="52">
        <f t="shared" si="4"/>
        <v>-25675</v>
      </c>
      <c r="AG69" s="46">
        <f t="shared" si="5"/>
        <v>-16950</v>
      </c>
      <c r="AH69" s="51">
        <f t="shared" si="6"/>
        <v>-42625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9600</v>
      </c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7">
        <f t="shared" si="0"/>
        <v>0</v>
      </c>
      <c r="R70" s="144"/>
      <c r="S70" s="6">
        <f t="shared" si="1"/>
        <v>9600</v>
      </c>
      <c r="T70" s="6">
        <v>-9425</v>
      </c>
      <c r="U70" s="6">
        <f t="shared" si="2"/>
        <v>175</v>
      </c>
      <c r="V70" s="52"/>
      <c r="W70" s="57"/>
      <c r="X70" s="46"/>
      <c r="Y70" s="61"/>
      <c r="Z70" s="66">
        <f t="shared" si="3"/>
        <v>-9600</v>
      </c>
      <c r="AA70" s="61"/>
      <c r="AB70" s="67"/>
      <c r="AC70" s="61"/>
      <c r="AD70" s="66"/>
      <c r="AE70" s="61"/>
      <c r="AF70" s="52">
        <f t="shared" si="4"/>
        <v>-9600</v>
      </c>
      <c r="AG70" s="46">
        <f t="shared" si="5"/>
        <v>-9425</v>
      </c>
      <c r="AH70" s="51">
        <f t="shared" si="6"/>
        <v>-19025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42050</v>
      </c>
      <c r="D71" s="144">
        <v>10000</v>
      </c>
      <c r="E71" s="144"/>
      <c r="F71" s="144"/>
      <c r="G71" s="144"/>
      <c r="H71" s="144">
        <v>1500</v>
      </c>
      <c r="I71" s="144"/>
      <c r="J71" s="144"/>
      <c r="K71" s="144"/>
      <c r="L71" s="144"/>
      <c r="M71" s="144"/>
      <c r="N71" s="144"/>
      <c r="O71" s="144"/>
      <c r="P71" s="144"/>
      <c r="Q71" s="7">
        <f t="shared" si="0"/>
        <v>1500</v>
      </c>
      <c r="R71" s="144">
        <f>11250+125+125</f>
        <v>11500</v>
      </c>
      <c r="S71" s="6">
        <f t="shared" si="1"/>
        <v>40550</v>
      </c>
      <c r="T71" s="6">
        <v>-27500</v>
      </c>
      <c r="U71" s="6">
        <f t="shared" si="2"/>
        <v>13050</v>
      </c>
      <c r="V71" s="52"/>
      <c r="W71" s="57"/>
      <c r="X71" s="46"/>
      <c r="Y71" s="61"/>
      <c r="Z71" s="66">
        <f t="shared" si="3"/>
        <v>-40550</v>
      </c>
      <c r="AA71" s="61"/>
      <c r="AB71" s="64"/>
      <c r="AC71" s="61"/>
      <c r="AD71" s="66"/>
      <c r="AE71" s="61"/>
      <c r="AF71" s="52">
        <f t="shared" si="4"/>
        <v>-40550</v>
      </c>
      <c r="AG71" s="46">
        <f t="shared" si="5"/>
        <v>-27500</v>
      </c>
      <c r="AH71" s="51">
        <f t="shared" si="6"/>
        <v>-68050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44">
        <f>SUM(C7:C72)</f>
        <v>410855</v>
      </c>
      <c r="D73" s="144">
        <f t="shared" ref="D73:V73" si="11">SUM(D7:D72)</f>
        <v>65350</v>
      </c>
      <c r="E73" s="144">
        <f t="shared" si="11"/>
        <v>0</v>
      </c>
      <c r="F73" s="144">
        <f t="shared" si="11"/>
        <v>0</v>
      </c>
      <c r="G73" s="144">
        <f t="shared" si="11"/>
        <v>0</v>
      </c>
      <c r="H73" s="27">
        <f t="shared" si="11"/>
        <v>3925</v>
      </c>
      <c r="I73" s="144">
        <f t="shared" si="11"/>
        <v>0</v>
      </c>
      <c r="J73" s="144">
        <f t="shared" si="11"/>
        <v>0</v>
      </c>
      <c r="K73" s="144">
        <f t="shared" si="11"/>
        <v>8125</v>
      </c>
      <c r="L73" s="144">
        <f t="shared" si="11"/>
        <v>0</v>
      </c>
      <c r="M73" s="144">
        <f t="shared" si="11"/>
        <v>0</v>
      </c>
      <c r="N73" s="144">
        <f t="shared" si="11"/>
        <v>0</v>
      </c>
      <c r="O73" s="144">
        <f t="shared" si="11"/>
        <v>0</v>
      </c>
      <c r="P73" s="144">
        <f t="shared" si="11"/>
        <v>0</v>
      </c>
      <c r="Q73" s="144">
        <f t="shared" si="11"/>
        <v>12050</v>
      </c>
      <c r="R73" s="144">
        <f t="shared" si="11"/>
        <v>37870</v>
      </c>
      <c r="S73" s="144">
        <f t="shared" si="11"/>
        <v>438335</v>
      </c>
      <c r="T73" s="144">
        <f t="shared" si="11"/>
        <v>-286670</v>
      </c>
      <c r="U73" s="144">
        <f t="shared" si="11"/>
        <v>151665</v>
      </c>
      <c r="V73" s="144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-438335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-438335</v>
      </c>
      <c r="AG73" s="43">
        <f t="shared" si="12"/>
        <v>-286670</v>
      </c>
      <c r="AH73" s="43">
        <f t="shared" si="12"/>
        <v>-725005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12050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</f>
        <v>518375</v>
      </c>
      <c r="S74" s="211"/>
      <c r="T74" s="212">
        <f>R74+R75</f>
        <v>1278160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65350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</f>
        <v>759785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37870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</f>
        <v>838515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</f>
        <v>158900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180400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49675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27725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658115</v>
      </c>
      <c r="S80" s="197"/>
      <c r="T80" s="22"/>
      <c r="U80" s="22"/>
      <c r="V80" s="2"/>
      <c r="X80" s="63">
        <f>SUM(X77:X79)</f>
        <v>77400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46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15000</v>
      </c>
      <c r="R118" s="63">
        <f t="shared" si="14"/>
        <v>167600</v>
      </c>
      <c r="S118" s="63"/>
      <c r="T118" s="63">
        <f>SUM(T87:T117)</f>
        <v>876385</v>
      </c>
      <c r="U118" s="63"/>
      <c r="V118" s="63">
        <f>SUM(V87:V117)</f>
        <v>530425</v>
      </c>
      <c r="W118" s="63">
        <f>SUM(W87:W117)</f>
        <v>825135</v>
      </c>
      <c r="X118" s="36">
        <f>SUM(V118:W118)</f>
        <v>1355560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7" activePane="bottomRight" state="frozen"/>
      <selection activeCell="O32" sqref="O32"/>
      <selection pane="topRight" activeCell="O32" sqref="O32"/>
      <selection pane="bottomLeft" activeCell="O32" sqref="O32"/>
      <selection pane="bottomRight" activeCell="G73" sqref="G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177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171</v>
      </c>
      <c r="P6" s="30" t="s">
        <v>175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12800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1000</v>
      </c>
      <c r="S7" s="6">
        <f>C7+D7-R7</f>
        <v>11800</v>
      </c>
      <c r="T7" s="34">
        <v>-9150</v>
      </c>
      <c r="U7" s="6">
        <f>S7+T7</f>
        <v>2650</v>
      </c>
      <c r="V7" s="52"/>
      <c r="W7" s="57"/>
      <c r="X7" s="46"/>
      <c r="Y7" s="65"/>
      <c r="Z7" s="66">
        <f>W7-S7</f>
        <v>-11800</v>
      </c>
      <c r="AA7" s="65"/>
      <c r="AB7" s="67"/>
      <c r="AC7" s="65"/>
      <c r="AD7" s="47"/>
      <c r="AE7" s="61"/>
      <c r="AF7" s="52">
        <f>SUM(Y7:AE7)</f>
        <v>-11800</v>
      </c>
      <c r="AG7" s="46">
        <f>U7+AF7</f>
        <v>-9150</v>
      </c>
      <c r="AH7" s="51">
        <f>AG7-S7</f>
        <v>-20950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41800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5000</v>
      </c>
      <c r="S8" s="6">
        <f t="shared" ref="S8:S71" si="1">C8+D8-R8</f>
        <v>36800</v>
      </c>
      <c r="T8" s="6">
        <v>-24350</v>
      </c>
      <c r="U8" s="6">
        <f t="shared" ref="U8:U71" si="2">S8+T8</f>
        <v>12450</v>
      </c>
      <c r="V8" s="52"/>
      <c r="W8" s="57"/>
      <c r="X8" s="46"/>
      <c r="Y8" s="61"/>
      <c r="Z8" s="66">
        <f t="shared" ref="Z8:Z71" si="3">W8-S8</f>
        <v>-36800</v>
      </c>
      <c r="AA8" s="61"/>
      <c r="AB8" s="67"/>
      <c r="AC8" s="61"/>
      <c r="AD8" s="66"/>
      <c r="AE8" s="61"/>
      <c r="AF8" s="52">
        <f t="shared" ref="AF8:AF71" si="4">SUM(Y8:AE8)</f>
        <v>-36800</v>
      </c>
      <c r="AG8" s="46">
        <f t="shared" ref="AG8:AG71" si="5">U8+AF8</f>
        <v>-24350</v>
      </c>
      <c r="AH8" s="51">
        <f t="shared" ref="AH8:AH71" si="6">AG8-S8</f>
        <v>-61150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12600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100+250</f>
        <v>350</v>
      </c>
      <c r="S11" s="6">
        <f t="shared" si="1"/>
        <v>12250</v>
      </c>
      <c r="T11" s="6">
        <v>-3750</v>
      </c>
      <c r="U11" s="6">
        <f t="shared" si="2"/>
        <v>8500</v>
      </c>
      <c r="V11" s="52"/>
      <c r="W11" s="57"/>
      <c r="X11" s="46"/>
      <c r="Y11" s="61"/>
      <c r="Z11" s="66">
        <f t="shared" si="3"/>
        <v>-12250</v>
      </c>
      <c r="AA11" s="61"/>
      <c r="AB11" s="67"/>
      <c r="AC11" s="61"/>
      <c r="AD11" s="66"/>
      <c r="AE11" s="61"/>
      <c r="AF11" s="52">
        <f t="shared" si="4"/>
        <v>-12250</v>
      </c>
      <c r="AG11" s="46">
        <f t="shared" si="5"/>
        <v>-3750</v>
      </c>
      <c r="AH11" s="51">
        <f t="shared" si="6"/>
        <v>-16000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-1000</v>
      </c>
      <c r="D12" s="6">
        <v>3000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250</v>
      </c>
      <c r="S12" s="6">
        <f t="shared" si="1"/>
        <v>1750</v>
      </c>
      <c r="T12" s="6">
        <v>4700</v>
      </c>
      <c r="U12" s="6">
        <f t="shared" si="2"/>
        <v>6450</v>
      </c>
      <c r="V12" s="52"/>
      <c r="W12" s="57"/>
      <c r="X12" s="46"/>
      <c r="Y12" s="61"/>
      <c r="Z12" s="66">
        <f t="shared" si="3"/>
        <v>-1750</v>
      </c>
      <c r="AA12" s="61"/>
      <c r="AB12" s="67"/>
      <c r="AC12" s="61"/>
      <c r="AD12" s="66"/>
      <c r="AE12" s="61"/>
      <c r="AF12" s="52">
        <f t="shared" si="4"/>
        <v>-1750</v>
      </c>
      <c r="AG12" s="46">
        <f t="shared" si="5"/>
        <v>4700</v>
      </c>
      <c r="AH12" s="51">
        <f t="shared" si="6"/>
        <v>2950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31910</v>
      </c>
      <c r="D14" s="6">
        <f>10000+10600</f>
        <v>20600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6000+2000+100+700</f>
        <v>8800</v>
      </c>
      <c r="S14" s="6">
        <f t="shared" si="1"/>
        <v>43710</v>
      </c>
      <c r="T14" s="6">
        <v>-5760</v>
      </c>
      <c r="U14" s="6">
        <f t="shared" si="2"/>
        <v>37950</v>
      </c>
      <c r="V14" s="52"/>
      <c r="W14" s="57"/>
      <c r="X14" s="46"/>
      <c r="Y14" s="61"/>
      <c r="Z14" s="66">
        <f t="shared" si="3"/>
        <v>-43710</v>
      </c>
      <c r="AA14" s="61"/>
      <c r="AB14" s="66"/>
      <c r="AC14" s="61"/>
      <c r="AD14" s="66"/>
      <c r="AE14" s="61"/>
      <c r="AF14" s="52">
        <f t="shared" si="4"/>
        <v>-43710</v>
      </c>
      <c r="AG14" s="46">
        <f t="shared" si="5"/>
        <v>-5760</v>
      </c>
      <c r="AH14" s="51">
        <f t="shared" si="6"/>
        <v>-49470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13400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13400</v>
      </c>
      <c r="T16" s="34">
        <v>-10050</v>
      </c>
      <c r="U16" s="6">
        <f t="shared" si="2"/>
        <v>3350</v>
      </c>
      <c r="V16" s="52"/>
      <c r="W16" s="57"/>
      <c r="X16" s="46"/>
      <c r="Y16" s="61"/>
      <c r="Z16" s="66">
        <f t="shared" si="3"/>
        <v>-13400</v>
      </c>
      <c r="AA16" s="61"/>
      <c r="AB16" s="67"/>
      <c r="AC16" s="61"/>
      <c r="AD16" s="47"/>
      <c r="AE16" s="61"/>
      <c r="AF16" s="52">
        <f t="shared" si="4"/>
        <v>-13400</v>
      </c>
      <c r="AG16" s="46">
        <f t="shared" si="5"/>
        <v>-10050</v>
      </c>
      <c r="AH16" s="51">
        <f t="shared" si="6"/>
        <v>-23450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13550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250+1000</f>
        <v>1250</v>
      </c>
      <c r="S17" s="6">
        <f t="shared" si="1"/>
        <v>12300</v>
      </c>
      <c r="T17" s="6">
        <v>-5000</v>
      </c>
      <c r="U17" s="6">
        <f t="shared" si="2"/>
        <v>7300</v>
      </c>
      <c r="V17" s="52"/>
      <c r="W17" s="57"/>
      <c r="X17" s="46"/>
      <c r="Y17" s="61"/>
      <c r="Z17" s="66">
        <f t="shared" si="3"/>
        <v>-12300</v>
      </c>
      <c r="AA17" s="61"/>
      <c r="AB17" s="66"/>
      <c r="AC17" s="61"/>
      <c r="AD17" s="66"/>
      <c r="AE17" s="61"/>
      <c r="AF17" s="52">
        <f t="shared" si="4"/>
        <v>-12300</v>
      </c>
      <c r="AG17" s="46">
        <f t="shared" si="5"/>
        <v>-5000</v>
      </c>
      <c r="AH17" s="51">
        <f t="shared" si="6"/>
        <v>-17300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7">
        <f t="shared" si="0"/>
        <v>0</v>
      </c>
      <c r="R22" s="150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7">
        <f t="shared" si="0"/>
        <v>0</v>
      </c>
      <c r="R24" s="150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7">
        <f t="shared" si="0"/>
        <v>0</v>
      </c>
      <c r="R25" s="150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7">
        <f t="shared" si="0"/>
        <v>0</v>
      </c>
      <c r="R26" s="150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7">
        <f t="shared" si="0"/>
        <v>0</v>
      </c>
      <c r="R27" s="150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2720</v>
      </c>
      <c r="D28" s="6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7">
        <f t="shared" si="0"/>
        <v>0</v>
      </c>
      <c r="R28" s="150">
        <v>1000</v>
      </c>
      <c r="S28" s="6">
        <f t="shared" si="1"/>
        <v>1720</v>
      </c>
      <c r="T28" s="6">
        <f>-40-100</f>
        <v>-140</v>
      </c>
      <c r="U28" s="6">
        <f t="shared" si="2"/>
        <v>1580</v>
      </c>
      <c r="V28" s="52"/>
      <c r="W28" s="57"/>
      <c r="X28" s="46"/>
      <c r="Y28" s="61"/>
      <c r="Z28" s="66">
        <f t="shared" si="3"/>
        <v>-1720</v>
      </c>
      <c r="AA28" s="61"/>
      <c r="AB28" s="67"/>
      <c r="AC28" s="61"/>
      <c r="AD28" s="66"/>
      <c r="AE28" s="61"/>
      <c r="AF28" s="52">
        <f t="shared" si="4"/>
        <v>-1720</v>
      </c>
      <c r="AG28" s="46">
        <f t="shared" si="5"/>
        <v>-140</v>
      </c>
      <c r="AH28" s="51">
        <f t="shared" si="6"/>
        <v>-1860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1980</v>
      </c>
      <c r="D29" s="6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7">
        <f t="shared" si="0"/>
        <v>0</v>
      </c>
      <c r="R29" s="150">
        <v>1000</v>
      </c>
      <c r="S29" s="6">
        <f t="shared" si="1"/>
        <v>980</v>
      </c>
      <c r="T29" s="6">
        <f>860+100</f>
        <v>960</v>
      </c>
      <c r="U29" s="6">
        <f t="shared" si="2"/>
        <v>1940</v>
      </c>
      <c r="V29" s="52"/>
      <c r="W29" s="57"/>
      <c r="X29" s="46"/>
      <c r="Y29" s="61"/>
      <c r="Z29" s="66">
        <f t="shared" si="3"/>
        <v>-980</v>
      </c>
      <c r="AA29" s="61"/>
      <c r="AB29" s="67"/>
      <c r="AC29" s="61"/>
      <c r="AD29" s="66"/>
      <c r="AE29" s="61"/>
      <c r="AF29" s="52">
        <f t="shared" si="4"/>
        <v>-980</v>
      </c>
      <c r="AG29" s="46">
        <f t="shared" si="5"/>
        <v>960</v>
      </c>
      <c r="AH29" s="51">
        <f t="shared" si="6"/>
        <v>-20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7">
        <f t="shared" si="0"/>
        <v>0</v>
      </c>
      <c r="R30" s="150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7">
        <f t="shared" si="0"/>
        <v>0</v>
      </c>
      <c r="R31" s="150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29500</v>
      </c>
      <c r="D32" s="6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6"/>
      <c r="P32" s="6"/>
      <c r="Q32" s="7">
        <f>SUM(E32:P32)</f>
        <v>0</v>
      </c>
      <c r="R32" s="150"/>
      <c r="S32" s="6">
        <f t="shared" si="1"/>
        <v>29500</v>
      </c>
      <c r="T32" s="6">
        <v>-18280</v>
      </c>
      <c r="U32" s="6">
        <f t="shared" si="2"/>
        <v>11220</v>
      </c>
      <c r="V32" s="52"/>
      <c r="W32" s="57"/>
      <c r="X32" s="46"/>
      <c r="Y32" s="61"/>
      <c r="Z32" s="66">
        <f t="shared" si="3"/>
        <v>-29500</v>
      </c>
      <c r="AA32" s="61"/>
      <c r="AB32" s="67"/>
      <c r="AC32" s="61"/>
      <c r="AD32" s="66"/>
      <c r="AE32" s="61"/>
      <c r="AF32" s="52">
        <f t="shared" si="4"/>
        <v>-29500</v>
      </c>
      <c r="AG32" s="46">
        <f t="shared" si="5"/>
        <v>-18280</v>
      </c>
      <c r="AH32" s="51">
        <f t="shared" si="6"/>
        <v>-47780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7">
        <f t="shared" si="0"/>
        <v>0</v>
      </c>
      <c r="R33" s="150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2860</v>
      </c>
      <c r="D34" s="6"/>
      <c r="E34" s="150"/>
      <c r="F34" s="150"/>
      <c r="G34" s="150"/>
      <c r="H34" s="150"/>
      <c r="I34" s="150"/>
      <c r="J34" s="150"/>
      <c r="K34" s="6"/>
      <c r="L34" s="150"/>
      <c r="M34" s="150"/>
      <c r="N34" s="150"/>
      <c r="O34" s="150"/>
      <c r="P34" s="150"/>
      <c r="Q34" s="7">
        <f t="shared" si="0"/>
        <v>0</v>
      </c>
      <c r="R34" s="150"/>
      <c r="S34" s="6">
        <f t="shared" si="1"/>
        <v>2860</v>
      </c>
      <c r="T34" s="6">
        <v>2960</v>
      </c>
      <c r="U34" s="6">
        <f t="shared" si="2"/>
        <v>5820</v>
      </c>
      <c r="V34" s="52"/>
      <c r="W34" s="57"/>
      <c r="X34" s="46"/>
      <c r="Y34" s="61"/>
      <c r="Z34" s="66">
        <f t="shared" si="3"/>
        <v>-2860</v>
      </c>
      <c r="AA34" s="61"/>
      <c r="AB34" s="67"/>
      <c r="AC34" s="61"/>
      <c r="AD34" s="66"/>
      <c r="AE34" s="61"/>
      <c r="AF34" s="52">
        <f t="shared" si="4"/>
        <v>-2860</v>
      </c>
      <c r="AG34" s="46">
        <f t="shared" si="5"/>
        <v>2960</v>
      </c>
      <c r="AH34" s="51">
        <f t="shared" si="6"/>
        <v>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50"/>
      <c r="F35" s="150"/>
      <c r="G35" s="150"/>
      <c r="H35" s="150"/>
      <c r="I35" s="150"/>
      <c r="J35" s="150"/>
      <c r="K35" s="6"/>
      <c r="L35" s="150"/>
      <c r="M35" s="150"/>
      <c r="N35" s="150"/>
      <c r="O35" s="150"/>
      <c r="P35" s="150"/>
      <c r="Q35" s="7">
        <f t="shared" si="0"/>
        <v>0</v>
      </c>
      <c r="R35" s="150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7">
        <f t="shared" si="0"/>
        <v>0</v>
      </c>
      <c r="R36" s="150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7">
        <f t="shared" si="0"/>
        <v>0</v>
      </c>
      <c r="R37" s="150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1340</v>
      </c>
      <c r="D38" s="6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7">
        <f>SUM(E38:P38)</f>
        <v>0</v>
      </c>
      <c r="R38" s="150"/>
      <c r="S38" s="6">
        <f t="shared" si="1"/>
        <v>1340</v>
      </c>
      <c r="T38" s="6">
        <v>-1340</v>
      </c>
      <c r="U38" s="6">
        <f t="shared" si="2"/>
        <v>0</v>
      </c>
      <c r="V38" s="52"/>
      <c r="W38" s="57"/>
      <c r="X38" s="46"/>
      <c r="Y38" s="61"/>
      <c r="Z38" s="66">
        <f t="shared" si="3"/>
        <v>-1340</v>
      </c>
      <c r="AA38" s="61"/>
      <c r="AB38" s="64"/>
      <c r="AC38" s="61"/>
      <c r="AD38" s="66"/>
      <c r="AE38" s="61"/>
      <c r="AF38" s="52">
        <f t="shared" si="4"/>
        <v>-1340</v>
      </c>
      <c r="AG38" s="46">
        <f t="shared" si="5"/>
        <v>-1340</v>
      </c>
      <c r="AH38" s="51">
        <f t="shared" si="6"/>
        <v>-2680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7">
        <f>SUM(E39:P39)</f>
        <v>0</v>
      </c>
      <c r="R39" s="150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150"/>
      <c r="F40" s="150"/>
      <c r="G40" s="150"/>
      <c r="H40" s="27"/>
      <c r="I40" s="150"/>
      <c r="J40" s="150"/>
      <c r="K40" s="150"/>
      <c r="L40" s="150"/>
      <c r="M40" s="150"/>
      <c r="N40" s="150"/>
      <c r="O40" s="150"/>
      <c r="P40" s="150"/>
      <c r="Q40" s="7">
        <f>SUM(E40:P40)</f>
        <v>0</v>
      </c>
      <c r="R40" s="150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7">
        <f>SUM(E41:P41)</f>
        <v>0</v>
      </c>
      <c r="R41" s="150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3720</v>
      </c>
      <c r="D42" s="6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7">
        <f>SUM(E42:P42)</f>
        <v>0</v>
      </c>
      <c r="R42" s="150"/>
      <c r="S42" s="6">
        <f t="shared" si="1"/>
        <v>3720</v>
      </c>
      <c r="T42" s="6">
        <v>-1920</v>
      </c>
      <c r="U42" s="6">
        <f t="shared" si="2"/>
        <v>1800</v>
      </c>
      <c r="V42" s="52"/>
      <c r="W42" s="57"/>
      <c r="X42" s="46"/>
      <c r="Y42" s="61"/>
      <c r="Z42" s="66">
        <f t="shared" si="3"/>
        <v>-3720</v>
      </c>
      <c r="AA42" s="61"/>
      <c r="AB42" s="67"/>
      <c r="AC42" s="61"/>
      <c r="AD42" s="66"/>
      <c r="AE42" s="61"/>
      <c r="AF42" s="52">
        <f t="shared" si="4"/>
        <v>-3720</v>
      </c>
      <c r="AG42" s="46">
        <f t="shared" si="5"/>
        <v>-1920</v>
      </c>
      <c r="AH42" s="51">
        <f t="shared" si="6"/>
        <v>-5640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7">
        <f t="shared" si="0"/>
        <v>0</v>
      </c>
      <c r="R44" s="150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7">
        <f t="shared" si="0"/>
        <v>0</v>
      </c>
      <c r="R45" s="150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7">
        <f t="shared" si="0"/>
        <v>0</v>
      </c>
      <c r="R46" s="150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7">
        <f t="shared" si="0"/>
        <v>0</v>
      </c>
      <c r="R47" s="150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7">
        <f t="shared" si="0"/>
        <v>0</v>
      </c>
      <c r="R48" s="150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7">
        <f t="shared" si="0"/>
        <v>0</v>
      </c>
      <c r="R49" s="150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11050</v>
      </c>
      <c r="D50" s="6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7">
        <f t="shared" si="0"/>
        <v>0</v>
      </c>
      <c r="R50" s="150">
        <v>6000</v>
      </c>
      <c r="S50" s="6">
        <f t="shared" si="1"/>
        <v>5050</v>
      </c>
      <c r="T50" s="6">
        <f>-12000+8615</f>
        <v>-3385</v>
      </c>
      <c r="U50" s="6">
        <f t="shared" si="2"/>
        <v>1665</v>
      </c>
      <c r="V50" s="52"/>
      <c r="W50" s="57"/>
      <c r="X50" s="46"/>
      <c r="Y50" s="61"/>
      <c r="Z50" s="66">
        <f t="shared" si="3"/>
        <v>-5050</v>
      </c>
      <c r="AA50" s="61"/>
      <c r="AB50" s="64"/>
      <c r="AC50" s="61"/>
      <c r="AD50" s="66"/>
      <c r="AE50" s="61"/>
      <c r="AF50" s="52">
        <f t="shared" si="4"/>
        <v>-5050</v>
      </c>
      <c r="AG50" s="46">
        <f t="shared" si="5"/>
        <v>-3385</v>
      </c>
      <c r="AH50" s="51">
        <f t="shared" si="6"/>
        <v>-8435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7">
        <f t="shared" si="0"/>
        <v>0</v>
      </c>
      <c r="R51" s="150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7">
        <f t="shared" si="0"/>
        <v>0</v>
      </c>
      <c r="R52" s="150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12025</v>
      </c>
      <c r="D53" s="6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7">
        <f t="shared" si="0"/>
        <v>0</v>
      </c>
      <c r="R53" s="150"/>
      <c r="S53" s="6">
        <f t="shared" si="1"/>
        <v>12025</v>
      </c>
      <c r="T53" s="6">
        <v>-11550</v>
      </c>
      <c r="U53" s="6">
        <f t="shared" si="2"/>
        <v>475</v>
      </c>
      <c r="V53" s="52"/>
      <c r="W53" s="57"/>
      <c r="X53" s="46"/>
      <c r="Y53" s="61"/>
      <c r="Z53" s="66">
        <f t="shared" si="3"/>
        <v>-12025</v>
      </c>
      <c r="AA53" s="61"/>
      <c r="AB53" s="67"/>
      <c r="AC53" s="61"/>
      <c r="AD53" s="66"/>
      <c r="AE53" s="61"/>
      <c r="AF53" s="52">
        <f t="shared" si="4"/>
        <v>-12025</v>
      </c>
      <c r="AG53" s="46">
        <f t="shared" si="5"/>
        <v>-11550</v>
      </c>
      <c r="AH53" s="51">
        <f t="shared" si="6"/>
        <v>-23575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7">
        <f t="shared" si="0"/>
        <v>0</v>
      </c>
      <c r="R54" s="150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7">
        <f t="shared" si="0"/>
        <v>0</v>
      </c>
      <c r="R55" s="150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7">
        <f>SUM(E56:P56)</f>
        <v>0</v>
      </c>
      <c r="R56" s="150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7">
        <f t="shared" si="0"/>
        <v>0</v>
      </c>
      <c r="R61" s="150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7">
        <f t="shared" si="0"/>
        <v>0</v>
      </c>
      <c r="R62" s="149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7">
        <f t="shared" si="0"/>
        <v>0</v>
      </c>
      <c r="R63" s="149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7">
        <f t="shared" si="0"/>
        <v>0</v>
      </c>
      <c r="R64" s="149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7">
        <f t="shared" si="0"/>
        <v>0</v>
      </c>
      <c r="R65" s="149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48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7">
        <f t="shared" si="0"/>
        <v>0</v>
      </c>
      <c r="R67" s="150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7">
        <f t="shared" si="0"/>
        <v>0</v>
      </c>
      <c r="R68" s="150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25675</v>
      </c>
      <c r="D69" s="150">
        <v>5000</v>
      </c>
      <c r="E69" s="150"/>
      <c r="F69" s="150"/>
      <c r="G69" s="150">
        <v>10000</v>
      </c>
      <c r="H69" s="150"/>
      <c r="I69" s="150"/>
      <c r="J69" s="150"/>
      <c r="K69" s="150"/>
      <c r="L69" s="150"/>
      <c r="M69" s="150"/>
      <c r="N69" s="150"/>
      <c r="O69" s="150"/>
      <c r="P69" s="150"/>
      <c r="Q69" s="7">
        <f t="shared" si="0"/>
        <v>10000</v>
      </c>
      <c r="R69" s="150">
        <f>1000+25</f>
        <v>1025</v>
      </c>
      <c r="S69" s="6">
        <f t="shared" si="1"/>
        <v>29650</v>
      </c>
      <c r="T69" s="6">
        <v>-16950</v>
      </c>
      <c r="U69" s="6">
        <f t="shared" si="2"/>
        <v>12700</v>
      </c>
      <c r="V69" s="52"/>
      <c r="W69" s="57"/>
      <c r="X69" s="46"/>
      <c r="Y69" s="61"/>
      <c r="Z69" s="66">
        <f t="shared" si="3"/>
        <v>-29650</v>
      </c>
      <c r="AA69" s="61"/>
      <c r="AB69" s="64"/>
      <c r="AC69" s="61"/>
      <c r="AD69" s="66"/>
      <c r="AE69" s="61"/>
      <c r="AF69" s="52">
        <f t="shared" si="4"/>
        <v>-29650</v>
      </c>
      <c r="AG69" s="46">
        <f t="shared" si="5"/>
        <v>-16950</v>
      </c>
      <c r="AH69" s="51">
        <f t="shared" si="6"/>
        <v>-46600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9600</v>
      </c>
      <c r="D70" s="150">
        <v>6600</v>
      </c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7">
        <f t="shared" si="0"/>
        <v>0</v>
      </c>
      <c r="R70" s="150">
        <v>500</v>
      </c>
      <c r="S70" s="6">
        <f t="shared" si="1"/>
        <v>15700</v>
      </c>
      <c r="T70" s="6">
        <v>-9425</v>
      </c>
      <c r="U70" s="6">
        <f t="shared" si="2"/>
        <v>6275</v>
      </c>
      <c r="V70" s="52"/>
      <c r="W70" s="57"/>
      <c r="X70" s="46"/>
      <c r="Y70" s="61"/>
      <c r="Z70" s="66">
        <f t="shared" si="3"/>
        <v>-15700</v>
      </c>
      <c r="AA70" s="61"/>
      <c r="AB70" s="67"/>
      <c r="AC70" s="61"/>
      <c r="AD70" s="66"/>
      <c r="AE70" s="61"/>
      <c r="AF70" s="52">
        <f t="shared" si="4"/>
        <v>-15700</v>
      </c>
      <c r="AG70" s="46">
        <f t="shared" si="5"/>
        <v>-9425</v>
      </c>
      <c r="AH70" s="51">
        <f t="shared" si="6"/>
        <v>-25125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40550</v>
      </c>
      <c r="D71" s="150">
        <f>5450+5000</f>
        <v>10450</v>
      </c>
      <c r="E71" s="150"/>
      <c r="F71" s="150"/>
      <c r="G71" s="150">
        <f>8320+5000+6000</f>
        <v>19320</v>
      </c>
      <c r="H71" s="150"/>
      <c r="I71" s="150"/>
      <c r="J71" s="150"/>
      <c r="K71" s="150"/>
      <c r="L71" s="150"/>
      <c r="M71" s="150"/>
      <c r="N71" s="150"/>
      <c r="O71" s="150"/>
      <c r="P71" s="150"/>
      <c r="Q71" s="7">
        <f t="shared" si="0"/>
        <v>19320</v>
      </c>
      <c r="R71" s="150">
        <v>1000</v>
      </c>
      <c r="S71" s="6">
        <f t="shared" si="1"/>
        <v>50000</v>
      </c>
      <c r="T71" s="6">
        <v>-27500</v>
      </c>
      <c r="U71" s="6">
        <f t="shared" si="2"/>
        <v>22500</v>
      </c>
      <c r="V71" s="52"/>
      <c r="W71" s="57"/>
      <c r="X71" s="46"/>
      <c r="Y71" s="61"/>
      <c r="Z71" s="66">
        <f t="shared" si="3"/>
        <v>-50000</v>
      </c>
      <c r="AA71" s="61"/>
      <c r="AB71" s="64"/>
      <c r="AC71" s="61"/>
      <c r="AD71" s="66"/>
      <c r="AE71" s="61"/>
      <c r="AF71" s="52">
        <f t="shared" si="4"/>
        <v>-50000</v>
      </c>
      <c r="AG71" s="46">
        <f t="shared" si="5"/>
        <v>-27500</v>
      </c>
      <c r="AH71" s="51">
        <f t="shared" si="6"/>
        <v>-77500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50">
        <f>SUM(C7:C72)</f>
        <v>438335</v>
      </c>
      <c r="D73" s="150">
        <f t="shared" ref="D73:V73" si="11">SUM(D7:D72)</f>
        <v>45650</v>
      </c>
      <c r="E73" s="150">
        <f t="shared" si="11"/>
        <v>0</v>
      </c>
      <c r="F73" s="150">
        <f t="shared" si="11"/>
        <v>0</v>
      </c>
      <c r="G73" s="150">
        <f t="shared" si="11"/>
        <v>29320</v>
      </c>
      <c r="H73" s="27">
        <f t="shared" si="11"/>
        <v>0</v>
      </c>
      <c r="I73" s="150">
        <f t="shared" si="11"/>
        <v>0</v>
      </c>
      <c r="J73" s="150">
        <f t="shared" si="11"/>
        <v>0</v>
      </c>
      <c r="K73" s="150">
        <f t="shared" si="11"/>
        <v>0</v>
      </c>
      <c r="L73" s="150">
        <f t="shared" si="11"/>
        <v>0</v>
      </c>
      <c r="M73" s="150">
        <f t="shared" si="11"/>
        <v>0</v>
      </c>
      <c r="N73" s="150">
        <f t="shared" si="11"/>
        <v>0</v>
      </c>
      <c r="O73" s="150">
        <f t="shared" si="11"/>
        <v>0</v>
      </c>
      <c r="P73" s="150">
        <f t="shared" si="11"/>
        <v>0</v>
      </c>
      <c r="Q73" s="150">
        <f t="shared" si="11"/>
        <v>29320</v>
      </c>
      <c r="R73" s="150">
        <f t="shared" si="11"/>
        <v>27175</v>
      </c>
      <c r="S73" s="150">
        <f t="shared" si="11"/>
        <v>456810</v>
      </c>
      <c r="T73" s="150">
        <f t="shared" si="11"/>
        <v>-286670</v>
      </c>
      <c r="U73" s="150">
        <f t="shared" si="11"/>
        <v>170140</v>
      </c>
      <c r="V73" s="150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-456810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-456810</v>
      </c>
      <c r="AG73" s="43">
        <f t="shared" si="12"/>
        <v>-286670</v>
      </c>
      <c r="AH73" s="43">
        <f t="shared" si="12"/>
        <v>-743480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29320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19040+34230+16185+52765+57455+19000+30150+15160+25540+49550+7100+5800+25240+9300+63245+35645+52970+29320</f>
        <v>547695</v>
      </c>
      <c r="S74" s="211"/>
      <c r="T74" s="212">
        <f>R74+R75</f>
        <v>1353130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45650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28525+29600+39100+3100+62165+29250+69870+73500+69085+35150+67115+10100+28325+96100+8100+72500+38200+45650</f>
        <v>805435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27175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76510+33035+58040+13475+68820+6900+95950+62450+44990+60525+45725+16920+92525+40300+26350+54650+41350+27175</f>
        <v>865690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</f>
        <v>158900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180400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42370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32600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685290</v>
      </c>
      <c r="S80" s="197"/>
      <c r="T80" s="22"/>
      <c r="U80" s="22"/>
      <c r="V80" s="2"/>
      <c r="X80" s="63">
        <f>SUM(X77:X79)</f>
        <v>74970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47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15000</v>
      </c>
      <c r="R118" s="63">
        <f t="shared" si="14"/>
        <v>173600</v>
      </c>
      <c r="S118" s="63"/>
      <c r="T118" s="63">
        <f>SUM(T87:T117)</f>
        <v>903560</v>
      </c>
      <c r="U118" s="63"/>
      <c r="V118" s="63">
        <f>SUM(V87:V117)</f>
        <v>559745</v>
      </c>
      <c r="W118" s="63">
        <f>SUM(W87:W117)</f>
        <v>870785</v>
      </c>
      <c r="X118" s="36">
        <f>SUM(V118:W118)</f>
        <v>1430530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49" activePane="bottomRight" state="frozen"/>
      <selection activeCell="O32" sqref="O32"/>
      <selection pane="topRight" activeCell="O32" sqref="O32"/>
      <selection pane="bottomLeft" activeCell="O32" sqref="O32"/>
      <selection pane="bottomRight" activeCell="K73" sqref="K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151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146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15250</v>
      </c>
      <c r="D7" s="6"/>
      <c r="E7" s="6"/>
      <c r="F7" s="6"/>
      <c r="G7" s="6">
        <v>6000</v>
      </c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6000</v>
      </c>
      <c r="R7" s="6"/>
      <c r="S7" s="6">
        <f>C7+D7-R7</f>
        <v>15250</v>
      </c>
      <c r="T7" s="34">
        <v>-9150</v>
      </c>
      <c r="U7" s="6">
        <f>S7+T7</f>
        <v>6100</v>
      </c>
      <c r="V7" s="52"/>
      <c r="W7" s="57"/>
      <c r="X7" s="46"/>
      <c r="Y7" s="65"/>
      <c r="Z7" s="66">
        <f>W7-S7</f>
        <v>-15250</v>
      </c>
      <c r="AA7" s="65"/>
      <c r="AB7" s="67"/>
      <c r="AC7" s="65"/>
      <c r="AD7" s="47"/>
      <c r="AE7" s="61"/>
      <c r="AF7" s="52">
        <f>SUM(Y7:AE7)</f>
        <v>-15250</v>
      </c>
      <c r="AG7" s="46">
        <f>U7+AF7</f>
        <v>-9150</v>
      </c>
      <c r="AH7" s="51">
        <f>AG7-S7</f>
        <v>-24400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33700</v>
      </c>
      <c r="D8" s="6"/>
      <c r="E8" s="6"/>
      <c r="F8" s="6"/>
      <c r="G8" s="6">
        <v>6000</v>
      </c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6000</v>
      </c>
      <c r="R8" s="6">
        <f>50+3000</f>
        <v>3050</v>
      </c>
      <c r="S8" s="6">
        <f t="shared" ref="S8:S71" si="1">C8+D8-R8</f>
        <v>30650</v>
      </c>
      <c r="T8" s="6">
        <v>-24350</v>
      </c>
      <c r="U8" s="6">
        <f t="shared" ref="U8:U71" si="2">S8+T8</f>
        <v>6300</v>
      </c>
      <c r="V8" s="52"/>
      <c r="W8" s="57"/>
      <c r="X8" s="46"/>
      <c r="Y8" s="61"/>
      <c r="Z8" s="66">
        <f t="shared" ref="Z8:Z71" si="3">W8-S8</f>
        <v>-30650</v>
      </c>
      <c r="AA8" s="61"/>
      <c r="AB8" s="67"/>
      <c r="AC8" s="61"/>
      <c r="AD8" s="66"/>
      <c r="AE8" s="61"/>
      <c r="AF8" s="52">
        <f t="shared" ref="AF8:AF71" si="4">SUM(Y8:AE8)</f>
        <v>-30650</v>
      </c>
      <c r="AG8" s="46">
        <f t="shared" ref="AG8:AG71" si="5">U8+AF8</f>
        <v>-24350</v>
      </c>
      <c r="AH8" s="51">
        <f t="shared" ref="AH8:AH71" si="6">AG8-S8</f>
        <v>-55000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6800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6800</v>
      </c>
      <c r="T11" s="6">
        <v>-3750</v>
      </c>
      <c r="U11" s="6">
        <f t="shared" si="2"/>
        <v>3050</v>
      </c>
      <c r="V11" s="52"/>
      <c r="W11" s="57"/>
      <c r="X11" s="46"/>
      <c r="Y11" s="61"/>
      <c r="Z11" s="66">
        <f t="shared" si="3"/>
        <v>-6800</v>
      </c>
      <c r="AA11" s="61"/>
      <c r="AB11" s="67"/>
      <c r="AC11" s="61"/>
      <c r="AD11" s="66"/>
      <c r="AE11" s="61"/>
      <c r="AF11" s="52">
        <f t="shared" si="4"/>
        <v>-6800</v>
      </c>
      <c r="AG11" s="46">
        <f t="shared" si="5"/>
        <v>-3750</v>
      </c>
      <c r="AH11" s="51">
        <f t="shared" si="6"/>
        <v>-10550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-1400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500+1000+450</f>
        <v>1950</v>
      </c>
      <c r="S12" s="6">
        <f t="shared" si="1"/>
        <v>-3350</v>
      </c>
      <c r="T12" s="6">
        <v>4700</v>
      </c>
      <c r="U12" s="6">
        <f t="shared" si="2"/>
        <v>1350</v>
      </c>
      <c r="V12" s="52"/>
      <c r="W12" s="57"/>
      <c r="X12" s="46"/>
      <c r="Y12" s="61"/>
      <c r="Z12" s="66">
        <f t="shared" si="3"/>
        <v>3350</v>
      </c>
      <c r="AA12" s="61"/>
      <c r="AB12" s="67"/>
      <c r="AC12" s="61"/>
      <c r="AD12" s="66"/>
      <c r="AE12" s="61"/>
      <c r="AF12" s="52">
        <f t="shared" si="4"/>
        <v>3350</v>
      </c>
      <c r="AG12" s="46">
        <f t="shared" si="5"/>
        <v>4700</v>
      </c>
      <c r="AH12" s="51">
        <f t="shared" si="6"/>
        <v>8050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31510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2000+1750+2000+4500+2000</f>
        <v>12250</v>
      </c>
      <c r="S14" s="6">
        <f t="shared" si="1"/>
        <v>19260</v>
      </c>
      <c r="T14" s="6">
        <v>-5760</v>
      </c>
      <c r="U14" s="6">
        <f t="shared" si="2"/>
        <v>13500</v>
      </c>
      <c r="V14" s="52"/>
      <c r="W14" s="57"/>
      <c r="X14" s="46"/>
      <c r="Y14" s="61"/>
      <c r="Z14" s="66">
        <f t="shared" si="3"/>
        <v>-19260</v>
      </c>
      <c r="AA14" s="61"/>
      <c r="AB14" s="66"/>
      <c r="AC14" s="61"/>
      <c r="AD14" s="66"/>
      <c r="AE14" s="61"/>
      <c r="AF14" s="52">
        <f t="shared" si="4"/>
        <v>-19260</v>
      </c>
      <c r="AG14" s="46">
        <f t="shared" si="5"/>
        <v>-5760</v>
      </c>
      <c r="AH14" s="51">
        <f t="shared" si="6"/>
        <v>-25020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14150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500</v>
      </c>
      <c r="S16" s="6">
        <f t="shared" si="1"/>
        <v>13650</v>
      </c>
      <c r="T16" s="34">
        <v>-10050</v>
      </c>
      <c r="U16" s="6">
        <f t="shared" si="2"/>
        <v>3600</v>
      </c>
      <c r="V16" s="52"/>
      <c r="W16" s="57"/>
      <c r="X16" s="46"/>
      <c r="Y16" s="61"/>
      <c r="Z16" s="66">
        <f t="shared" si="3"/>
        <v>-13650</v>
      </c>
      <c r="AA16" s="61"/>
      <c r="AB16" s="67"/>
      <c r="AC16" s="61"/>
      <c r="AD16" s="47"/>
      <c r="AE16" s="61"/>
      <c r="AF16" s="52">
        <f t="shared" si="4"/>
        <v>-13650</v>
      </c>
      <c r="AG16" s="46">
        <f t="shared" si="5"/>
        <v>-10050</v>
      </c>
      <c r="AH16" s="51">
        <f t="shared" si="6"/>
        <v>-23700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8650</v>
      </c>
      <c r="D17" s="6"/>
      <c r="E17" s="6"/>
      <c r="F17" s="6"/>
      <c r="G17" s="6">
        <v>4750</v>
      </c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4750</v>
      </c>
      <c r="R17" s="6">
        <v>500</v>
      </c>
      <c r="S17" s="6">
        <f t="shared" si="1"/>
        <v>8150</v>
      </c>
      <c r="T17" s="6">
        <v>-5000</v>
      </c>
      <c r="U17" s="6">
        <f t="shared" si="2"/>
        <v>3150</v>
      </c>
      <c r="V17" s="52"/>
      <c r="W17" s="57"/>
      <c r="X17" s="46"/>
      <c r="Y17" s="61"/>
      <c r="Z17" s="66">
        <f t="shared" si="3"/>
        <v>-8150</v>
      </c>
      <c r="AA17" s="61"/>
      <c r="AB17" s="66"/>
      <c r="AC17" s="61"/>
      <c r="AD17" s="66"/>
      <c r="AE17" s="61"/>
      <c r="AF17" s="52">
        <f t="shared" si="4"/>
        <v>-8150</v>
      </c>
      <c r="AG17" s="46">
        <f t="shared" si="5"/>
        <v>-5000</v>
      </c>
      <c r="AH17" s="51">
        <f t="shared" si="6"/>
        <v>-13150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9670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9670</v>
      </c>
      <c r="T19" s="6">
        <v>-8940</v>
      </c>
      <c r="U19" s="6">
        <f t="shared" si="2"/>
        <v>730</v>
      </c>
      <c r="V19" s="52"/>
      <c r="W19" s="57"/>
      <c r="X19" s="46"/>
      <c r="Y19" s="61"/>
      <c r="Z19" s="66">
        <f t="shared" si="3"/>
        <v>-9670</v>
      </c>
      <c r="AA19" s="61"/>
      <c r="AB19" s="67"/>
      <c r="AC19" s="61"/>
      <c r="AD19" s="66"/>
      <c r="AE19" s="61"/>
      <c r="AF19" s="52">
        <f t="shared" si="4"/>
        <v>-9670</v>
      </c>
      <c r="AG19" s="46">
        <f t="shared" si="5"/>
        <v>-8940</v>
      </c>
      <c r="AH19" s="51">
        <f t="shared" si="6"/>
        <v>-18610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3365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3365</v>
      </c>
      <c r="T20" s="6">
        <v>-1605</v>
      </c>
      <c r="U20" s="6">
        <f t="shared" si="2"/>
        <v>1760</v>
      </c>
      <c r="V20" s="52"/>
      <c r="W20" s="57"/>
      <c r="X20" s="46"/>
      <c r="Y20" s="61"/>
      <c r="Z20" s="66">
        <f t="shared" si="3"/>
        <v>-3365</v>
      </c>
      <c r="AA20" s="61"/>
      <c r="AB20" s="67"/>
      <c r="AC20" s="61"/>
      <c r="AD20" s="66"/>
      <c r="AE20" s="61"/>
      <c r="AF20" s="52">
        <f t="shared" si="4"/>
        <v>-3365</v>
      </c>
      <c r="AG20" s="46">
        <f t="shared" si="5"/>
        <v>-1605</v>
      </c>
      <c r="AH20" s="51">
        <f t="shared" si="6"/>
        <v>-4970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7">
        <f t="shared" si="0"/>
        <v>0</v>
      </c>
      <c r="R22" s="98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7">
        <f t="shared" si="0"/>
        <v>0</v>
      </c>
      <c r="R24" s="98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7">
        <f t="shared" si="0"/>
        <v>0</v>
      </c>
      <c r="R25" s="98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7">
        <f t="shared" si="0"/>
        <v>0</v>
      </c>
      <c r="R26" s="98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8560</v>
      </c>
      <c r="D27" s="6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7">
        <f t="shared" si="0"/>
        <v>0</v>
      </c>
      <c r="R27" s="98"/>
      <c r="S27" s="6">
        <f t="shared" si="1"/>
        <v>8560</v>
      </c>
      <c r="T27" s="6">
        <v>-40</v>
      </c>
      <c r="U27" s="6">
        <f t="shared" si="2"/>
        <v>8520</v>
      </c>
      <c r="V27" s="52"/>
      <c r="W27" s="57"/>
      <c r="X27" s="46"/>
      <c r="Y27" s="61"/>
      <c r="Z27" s="66">
        <f t="shared" si="3"/>
        <v>-8560</v>
      </c>
      <c r="AA27" s="61"/>
      <c r="AB27" s="67"/>
      <c r="AC27" s="61"/>
      <c r="AD27" s="66"/>
      <c r="AE27" s="61"/>
      <c r="AF27" s="52">
        <f t="shared" si="4"/>
        <v>-8560</v>
      </c>
      <c r="AG27" s="46">
        <f t="shared" si="5"/>
        <v>-40</v>
      </c>
      <c r="AH27" s="51">
        <f t="shared" si="6"/>
        <v>-8600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f>6940-1520</f>
        <v>5420</v>
      </c>
      <c r="D28" s="6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7">
        <f t="shared" si="0"/>
        <v>0</v>
      </c>
      <c r="R28" s="98">
        <v>760</v>
      </c>
      <c r="S28" s="6">
        <f t="shared" si="1"/>
        <v>4660</v>
      </c>
      <c r="T28" s="6">
        <f>-40-100</f>
        <v>-140</v>
      </c>
      <c r="U28" s="6">
        <f t="shared" si="2"/>
        <v>4520</v>
      </c>
      <c r="V28" s="52"/>
      <c r="W28" s="57"/>
      <c r="X28" s="46"/>
      <c r="Y28" s="61"/>
      <c r="Z28" s="66">
        <f t="shared" si="3"/>
        <v>-4660</v>
      </c>
      <c r="AA28" s="61"/>
      <c r="AB28" s="67"/>
      <c r="AC28" s="61"/>
      <c r="AD28" s="66"/>
      <c r="AE28" s="61"/>
      <c r="AF28" s="52">
        <f t="shared" si="4"/>
        <v>-4660</v>
      </c>
      <c r="AG28" s="46">
        <f t="shared" si="5"/>
        <v>-140</v>
      </c>
      <c r="AH28" s="51">
        <f t="shared" si="6"/>
        <v>-4800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f>-2480+1520</f>
        <v>-960</v>
      </c>
      <c r="D29" s="6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7">
        <f t="shared" si="0"/>
        <v>0</v>
      </c>
      <c r="R29" s="98"/>
      <c r="S29" s="6">
        <f t="shared" si="1"/>
        <v>-960</v>
      </c>
      <c r="T29" s="6">
        <f>860+100</f>
        <v>960</v>
      </c>
      <c r="U29" s="6">
        <f t="shared" si="2"/>
        <v>0</v>
      </c>
      <c r="V29" s="52"/>
      <c r="W29" s="57"/>
      <c r="X29" s="46"/>
      <c r="Y29" s="61"/>
      <c r="Z29" s="66">
        <f t="shared" si="3"/>
        <v>960</v>
      </c>
      <c r="AA29" s="61"/>
      <c r="AB29" s="67"/>
      <c r="AC29" s="61"/>
      <c r="AD29" s="66"/>
      <c r="AE29" s="61"/>
      <c r="AF29" s="52">
        <f t="shared" si="4"/>
        <v>960</v>
      </c>
      <c r="AG29" s="46">
        <f t="shared" si="5"/>
        <v>960</v>
      </c>
      <c r="AH29" s="51">
        <f t="shared" si="6"/>
        <v>1920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7">
        <f t="shared" si="0"/>
        <v>0</v>
      </c>
      <c r="R30" s="98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19880</v>
      </c>
      <c r="D31" s="6"/>
      <c r="E31" s="98"/>
      <c r="F31" s="98"/>
      <c r="G31" s="98">
        <v>1880</v>
      </c>
      <c r="H31" s="98"/>
      <c r="I31" s="98"/>
      <c r="J31" s="98"/>
      <c r="K31" s="98"/>
      <c r="L31" s="98"/>
      <c r="M31" s="98"/>
      <c r="N31" s="98"/>
      <c r="O31" s="98"/>
      <c r="P31" s="98"/>
      <c r="Q31" s="7">
        <f t="shared" si="0"/>
        <v>1880</v>
      </c>
      <c r="R31" s="98"/>
      <c r="S31" s="6">
        <f t="shared" si="1"/>
        <v>19880</v>
      </c>
      <c r="T31" s="6">
        <v>-17180</v>
      </c>
      <c r="U31" s="6">
        <f t="shared" si="2"/>
        <v>2700</v>
      </c>
      <c r="V31" s="52"/>
      <c r="W31" s="57"/>
      <c r="X31" s="46"/>
      <c r="Y31" s="61"/>
      <c r="Z31" s="66">
        <f t="shared" si="3"/>
        <v>-19880</v>
      </c>
      <c r="AA31" s="61"/>
      <c r="AB31" s="64"/>
      <c r="AC31" s="61"/>
      <c r="AD31" s="66"/>
      <c r="AE31" s="61"/>
      <c r="AF31" s="52">
        <f t="shared" si="4"/>
        <v>-19880</v>
      </c>
      <c r="AG31" s="46">
        <f t="shared" si="5"/>
        <v>-17180</v>
      </c>
      <c r="AH31" s="51">
        <f t="shared" si="6"/>
        <v>-37060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24520</v>
      </c>
      <c r="D32" s="6"/>
      <c r="E32" s="98"/>
      <c r="F32" s="98"/>
      <c r="G32" s="98">
        <v>3380</v>
      </c>
      <c r="H32" s="98"/>
      <c r="I32" s="98"/>
      <c r="J32" s="98"/>
      <c r="K32" s="98">
        <v>2480</v>
      </c>
      <c r="L32" s="98"/>
      <c r="M32" s="98"/>
      <c r="N32" s="98"/>
      <c r="O32" s="6"/>
      <c r="P32" s="6"/>
      <c r="Q32" s="7">
        <f>SUM(E32:P32)</f>
        <v>5860</v>
      </c>
      <c r="R32" s="98">
        <v>400</v>
      </c>
      <c r="S32" s="6">
        <f t="shared" si="1"/>
        <v>24120</v>
      </c>
      <c r="T32" s="6">
        <v>-18280</v>
      </c>
      <c r="U32" s="6">
        <f t="shared" si="2"/>
        <v>5840</v>
      </c>
      <c r="V32" s="52"/>
      <c r="W32" s="57"/>
      <c r="X32" s="46"/>
      <c r="Y32" s="61"/>
      <c r="Z32" s="66">
        <f t="shared" si="3"/>
        <v>-24120</v>
      </c>
      <c r="AA32" s="61"/>
      <c r="AB32" s="67"/>
      <c r="AC32" s="61"/>
      <c r="AD32" s="66"/>
      <c r="AE32" s="61"/>
      <c r="AF32" s="52">
        <f t="shared" si="4"/>
        <v>-24120</v>
      </c>
      <c r="AG32" s="46">
        <f t="shared" si="5"/>
        <v>-18280</v>
      </c>
      <c r="AH32" s="51">
        <f t="shared" si="6"/>
        <v>-42400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7">
        <f t="shared" si="0"/>
        <v>0</v>
      </c>
      <c r="R33" s="98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98"/>
      <c r="F34" s="98"/>
      <c r="G34" s="98"/>
      <c r="H34" s="98"/>
      <c r="I34" s="98"/>
      <c r="J34" s="98"/>
      <c r="K34" s="6"/>
      <c r="L34" s="98"/>
      <c r="M34" s="98"/>
      <c r="N34" s="98"/>
      <c r="O34" s="98"/>
      <c r="P34" s="98"/>
      <c r="Q34" s="7">
        <f t="shared" si="0"/>
        <v>0</v>
      </c>
      <c r="R34" s="98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98"/>
      <c r="F35" s="98"/>
      <c r="G35" s="98">
        <v>2120</v>
      </c>
      <c r="H35" s="98"/>
      <c r="I35" s="98"/>
      <c r="J35" s="98"/>
      <c r="K35" s="6"/>
      <c r="L35" s="98"/>
      <c r="M35" s="98"/>
      <c r="N35" s="98"/>
      <c r="O35" s="98"/>
      <c r="P35" s="98"/>
      <c r="Q35" s="7">
        <f t="shared" si="0"/>
        <v>2120</v>
      </c>
      <c r="R35" s="98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98"/>
      <c r="F36" s="98"/>
      <c r="G36" s="98">
        <v>2500</v>
      </c>
      <c r="H36" s="98"/>
      <c r="I36" s="98"/>
      <c r="J36" s="98"/>
      <c r="K36" s="98"/>
      <c r="L36" s="98"/>
      <c r="M36" s="98"/>
      <c r="N36" s="98"/>
      <c r="O36" s="98"/>
      <c r="P36" s="98"/>
      <c r="Q36" s="7">
        <f t="shared" si="0"/>
        <v>2500</v>
      </c>
      <c r="R36" s="98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7">
        <f t="shared" si="0"/>
        <v>0</v>
      </c>
      <c r="R37" s="98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3660</v>
      </c>
      <c r="D38" s="6"/>
      <c r="E38" s="98"/>
      <c r="F38" s="98"/>
      <c r="G38" s="98">
        <v>2120</v>
      </c>
      <c r="H38" s="98"/>
      <c r="I38" s="98"/>
      <c r="J38" s="98"/>
      <c r="K38" s="98"/>
      <c r="L38" s="98"/>
      <c r="M38" s="98"/>
      <c r="N38" s="98"/>
      <c r="O38" s="98"/>
      <c r="P38" s="98"/>
      <c r="Q38" s="7">
        <f>SUM(E38:P38)</f>
        <v>2120</v>
      </c>
      <c r="R38" s="98"/>
      <c r="S38" s="6">
        <f t="shared" si="1"/>
        <v>3660</v>
      </c>
      <c r="T38" s="6">
        <v>-1340</v>
      </c>
      <c r="U38" s="6">
        <f t="shared" si="2"/>
        <v>2320</v>
      </c>
      <c r="V38" s="52"/>
      <c r="W38" s="57"/>
      <c r="X38" s="46"/>
      <c r="Y38" s="61"/>
      <c r="Z38" s="66">
        <f t="shared" si="3"/>
        <v>-3660</v>
      </c>
      <c r="AA38" s="61"/>
      <c r="AB38" s="64"/>
      <c r="AC38" s="61"/>
      <c r="AD38" s="66"/>
      <c r="AE38" s="61"/>
      <c r="AF38" s="52">
        <f t="shared" si="4"/>
        <v>-3660</v>
      </c>
      <c r="AG38" s="46">
        <f t="shared" si="5"/>
        <v>-1340</v>
      </c>
      <c r="AH38" s="51">
        <f t="shared" si="6"/>
        <v>-5000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7">
        <f>SUM(E39:P39)</f>
        <v>0</v>
      </c>
      <c r="R39" s="98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98"/>
      <c r="F40" s="98"/>
      <c r="G40" s="98">
        <v>3000</v>
      </c>
      <c r="H40" s="27"/>
      <c r="I40" s="98"/>
      <c r="J40" s="98"/>
      <c r="K40" s="98"/>
      <c r="L40" s="98"/>
      <c r="M40" s="98"/>
      <c r="N40" s="98"/>
      <c r="O40" s="98"/>
      <c r="P40" s="98"/>
      <c r="Q40" s="7">
        <f>SUM(E40:P40)</f>
        <v>3000</v>
      </c>
      <c r="R40" s="98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7">
        <f>SUM(E41:P41)</f>
        <v>0</v>
      </c>
      <c r="R41" s="98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5720</v>
      </c>
      <c r="D42" s="6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7">
        <f>SUM(E42:P42)</f>
        <v>0</v>
      </c>
      <c r="R42" s="98"/>
      <c r="S42" s="6">
        <f t="shared" si="1"/>
        <v>5720</v>
      </c>
      <c r="T42" s="6">
        <v>-1920</v>
      </c>
      <c r="U42" s="6">
        <f t="shared" si="2"/>
        <v>3800</v>
      </c>
      <c r="V42" s="52"/>
      <c r="W42" s="57"/>
      <c r="X42" s="46"/>
      <c r="Y42" s="61"/>
      <c r="Z42" s="66">
        <f t="shared" si="3"/>
        <v>-5720</v>
      </c>
      <c r="AA42" s="61"/>
      <c r="AB42" s="67"/>
      <c r="AC42" s="61"/>
      <c r="AD42" s="66"/>
      <c r="AE42" s="61"/>
      <c r="AF42" s="52">
        <f t="shared" si="4"/>
        <v>-5720</v>
      </c>
      <c r="AG42" s="46">
        <f t="shared" si="5"/>
        <v>-1920</v>
      </c>
      <c r="AH42" s="51">
        <f t="shared" si="6"/>
        <v>-7640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7">
        <f t="shared" si="0"/>
        <v>0</v>
      </c>
      <c r="R44" s="98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7">
        <f t="shared" si="0"/>
        <v>0</v>
      </c>
      <c r="R45" s="98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7">
        <f t="shared" si="0"/>
        <v>0</v>
      </c>
      <c r="R46" s="98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7">
        <f t="shared" si="0"/>
        <v>0</v>
      </c>
      <c r="R47" s="98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7">
        <f t="shared" si="0"/>
        <v>0</v>
      </c>
      <c r="R48" s="98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7">
        <f t="shared" si="0"/>
        <v>0</v>
      </c>
      <c r="R49" s="98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16325</v>
      </c>
      <c r="D50" s="6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7">
        <f t="shared" si="0"/>
        <v>0</v>
      </c>
      <c r="R50" s="98"/>
      <c r="S50" s="6">
        <f t="shared" si="1"/>
        <v>16325</v>
      </c>
      <c r="T50" s="6">
        <f>-12000+8615</f>
        <v>-3385</v>
      </c>
      <c r="U50" s="6">
        <f t="shared" si="2"/>
        <v>12940</v>
      </c>
      <c r="V50" s="52"/>
      <c r="W50" s="57"/>
      <c r="X50" s="46"/>
      <c r="Y50" s="61"/>
      <c r="Z50" s="66">
        <f t="shared" si="3"/>
        <v>-16325</v>
      </c>
      <c r="AA50" s="61"/>
      <c r="AB50" s="64"/>
      <c r="AC50" s="61"/>
      <c r="AD50" s="66"/>
      <c r="AE50" s="61"/>
      <c r="AF50" s="52">
        <f t="shared" si="4"/>
        <v>-16325</v>
      </c>
      <c r="AG50" s="46">
        <f t="shared" si="5"/>
        <v>-3385</v>
      </c>
      <c r="AH50" s="51">
        <f t="shared" si="6"/>
        <v>-19710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7">
        <f t="shared" si="0"/>
        <v>0</v>
      </c>
      <c r="R51" s="98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2510</v>
      </c>
      <c r="D52" s="6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7">
        <f t="shared" si="0"/>
        <v>0</v>
      </c>
      <c r="R52" s="98"/>
      <c r="S52" s="6">
        <f t="shared" si="1"/>
        <v>2510</v>
      </c>
      <c r="T52" s="6">
        <v>-2510</v>
      </c>
      <c r="U52" s="6">
        <f t="shared" si="2"/>
        <v>0</v>
      </c>
      <c r="V52" s="52"/>
      <c r="W52" s="57"/>
      <c r="X52" s="46"/>
      <c r="Y52" s="61"/>
      <c r="Z52" s="66">
        <f t="shared" si="3"/>
        <v>-2510</v>
      </c>
      <c r="AA52" s="61"/>
      <c r="AB52" s="67"/>
      <c r="AC52" s="61"/>
      <c r="AD52" s="66"/>
      <c r="AE52" s="61"/>
      <c r="AF52" s="52">
        <f t="shared" si="4"/>
        <v>-2510</v>
      </c>
      <c r="AG52" s="46">
        <f t="shared" si="5"/>
        <v>-2510</v>
      </c>
      <c r="AH52" s="51">
        <f t="shared" si="6"/>
        <v>-5020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7">
        <f t="shared" si="0"/>
        <v>0</v>
      </c>
      <c r="R53" s="98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7950</v>
      </c>
      <c r="D54" s="6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7">
        <f t="shared" si="0"/>
        <v>0</v>
      </c>
      <c r="R54" s="98"/>
      <c r="S54" s="6">
        <f t="shared" si="1"/>
        <v>7950</v>
      </c>
      <c r="T54" s="6">
        <v>-2850</v>
      </c>
      <c r="U54" s="6">
        <f t="shared" si="2"/>
        <v>5100</v>
      </c>
      <c r="V54" s="52"/>
      <c r="W54" s="57"/>
      <c r="X54" s="46"/>
      <c r="Y54" s="61"/>
      <c r="Z54" s="66">
        <f t="shared" si="3"/>
        <v>-7950</v>
      </c>
      <c r="AA54" s="61"/>
      <c r="AB54" s="67"/>
      <c r="AC54" s="61"/>
      <c r="AD54" s="66"/>
      <c r="AE54" s="61"/>
      <c r="AF54" s="52">
        <f t="shared" si="4"/>
        <v>-7950</v>
      </c>
      <c r="AG54" s="46">
        <f t="shared" si="5"/>
        <v>-2850</v>
      </c>
      <c r="AH54" s="51">
        <f t="shared" si="6"/>
        <v>-10800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7">
        <f t="shared" si="0"/>
        <v>0</v>
      </c>
      <c r="R55" s="98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7">
        <f>SUM(E56:P56)</f>
        <v>0</v>
      </c>
      <c r="R56" s="98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7">
        <f t="shared" si="0"/>
        <v>0</v>
      </c>
      <c r="R61" s="98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7">
        <f t="shared" si="0"/>
        <v>0</v>
      </c>
      <c r="R62" s="97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7">
        <f t="shared" si="0"/>
        <v>0</v>
      </c>
      <c r="R63" s="97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7">
        <f t="shared" si="0"/>
        <v>0</v>
      </c>
      <c r="R64" s="97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7">
        <f t="shared" si="0"/>
        <v>0</v>
      </c>
      <c r="R65" s="97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96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f>1700+500</f>
        <v>2200</v>
      </c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7">
        <f t="shared" si="0"/>
        <v>0</v>
      </c>
      <c r="R67" s="98">
        <v>500</v>
      </c>
      <c r="S67" s="6">
        <f t="shared" si="1"/>
        <v>1700</v>
      </c>
      <c r="T67" s="6">
        <v>-1525</v>
      </c>
      <c r="U67" s="6">
        <f t="shared" si="2"/>
        <v>175</v>
      </c>
      <c r="V67" s="52"/>
      <c r="W67" s="57"/>
      <c r="X67" s="46"/>
      <c r="Y67" s="61"/>
      <c r="Z67" s="66">
        <f t="shared" si="3"/>
        <v>-1700</v>
      </c>
      <c r="AA67" s="61"/>
      <c r="AB67" s="67"/>
      <c r="AC67" s="61"/>
      <c r="AD67" s="66"/>
      <c r="AE67" s="61"/>
      <c r="AF67" s="52">
        <f t="shared" si="4"/>
        <v>-1700</v>
      </c>
      <c r="AG67" s="46">
        <f t="shared" si="5"/>
        <v>-1525</v>
      </c>
      <c r="AH67" s="51">
        <f t="shared" si="6"/>
        <v>-3225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7">
        <f t="shared" si="0"/>
        <v>0</v>
      </c>
      <c r="R68" s="98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25800</v>
      </c>
      <c r="D69" s="98">
        <v>11600</v>
      </c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7">
        <f t="shared" si="0"/>
        <v>0</v>
      </c>
      <c r="R69" s="98">
        <f>500+500+75</f>
        <v>1075</v>
      </c>
      <c r="S69" s="6">
        <f t="shared" si="1"/>
        <v>36325</v>
      </c>
      <c r="T69" s="6">
        <v>-16950</v>
      </c>
      <c r="U69" s="6">
        <f t="shared" si="2"/>
        <v>19375</v>
      </c>
      <c r="V69" s="52"/>
      <c r="W69" s="57"/>
      <c r="X69" s="46"/>
      <c r="Y69" s="61"/>
      <c r="Z69" s="66">
        <f t="shared" si="3"/>
        <v>-36325</v>
      </c>
      <c r="AA69" s="61"/>
      <c r="AB69" s="64"/>
      <c r="AC69" s="61"/>
      <c r="AD69" s="66"/>
      <c r="AE69" s="61"/>
      <c r="AF69" s="52">
        <f t="shared" si="4"/>
        <v>-36325</v>
      </c>
      <c r="AG69" s="46">
        <f t="shared" si="5"/>
        <v>-16950</v>
      </c>
      <c r="AH69" s="51">
        <f t="shared" si="6"/>
        <v>-53275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f>15750-500</f>
        <v>15250</v>
      </c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7">
        <f t="shared" si="0"/>
        <v>0</v>
      </c>
      <c r="R70" s="98">
        <v>3500</v>
      </c>
      <c r="S70" s="6">
        <f t="shared" si="1"/>
        <v>11750</v>
      </c>
      <c r="T70" s="6">
        <v>-9425</v>
      </c>
      <c r="U70" s="6">
        <f t="shared" si="2"/>
        <v>2325</v>
      </c>
      <c r="V70" s="52"/>
      <c r="W70" s="57"/>
      <c r="X70" s="46"/>
      <c r="Y70" s="61"/>
      <c r="Z70" s="66">
        <f t="shared" si="3"/>
        <v>-11750</v>
      </c>
      <c r="AA70" s="61"/>
      <c r="AB70" s="67"/>
      <c r="AC70" s="61"/>
      <c r="AD70" s="66"/>
      <c r="AE70" s="61"/>
      <c r="AF70" s="52">
        <f t="shared" si="4"/>
        <v>-11750</v>
      </c>
      <c r="AG70" s="46">
        <f t="shared" si="5"/>
        <v>-9425</v>
      </c>
      <c r="AH70" s="51">
        <f t="shared" si="6"/>
        <v>-21175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38525</v>
      </c>
      <c r="D71" s="98">
        <v>18000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7">
        <f t="shared" si="0"/>
        <v>0</v>
      </c>
      <c r="R71" s="98">
        <f>1500+1500+5550</f>
        <v>8550</v>
      </c>
      <c r="S71" s="6">
        <f t="shared" si="1"/>
        <v>47975</v>
      </c>
      <c r="T71" s="6">
        <v>-27500</v>
      </c>
      <c r="U71" s="6">
        <f t="shared" si="2"/>
        <v>20475</v>
      </c>
      <c r="V71" s="52"/>
      <c r="W71" s="57"/>
      <c r="X71" s="46"/>
      <c r="Y71" s="61"/>
      <c r="Z71" s="66">
        <f t="shared" si="3"/>
        <v>-47975</v>
      </c>
      <c r="AA71" s="61"/>
      <c r="AB71" s="64"/>
      <c r="AC71" s="61"/>
      <c r="AD71" s="66"/>
      <c r="AE71" s="61"/>
      <c r="AF71" s="52">
        <f t="shared" si="4"/>
        <v>-47975</v>
      </c>
      <c r="AG71" s="46">
        <f t="shared" si="5"/>
        <v>-27500</v>
      </c>
      <c r="AH71" s="51">
        <f t="shared" si="6"/>
        <v>-75475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98">
        <f>SUM(C7:C72)</f>
        <v>441360</v>
      </c>
      <c r="D73" s="98">
        <f t="shared" ref="D73:V73" si="11">SUM(D7:D72)</f>
        <v>29600</v>
      </c>
      <c r="E73" s="98">
        <f t="shared" si="11"/>
        <v>0</v>
      </c>
      <c r="F73" s="98">
        <f t="shared" si="11"/>
        <v>0</v>
      </c>
      <c r="G73" s="98">
        <f t="shared" si="11"/>
        <v>31750</v>
      </c>
      <c r="H73" s="27">
        <f t="shared" si="11"/>
        <v>0</v>
      </c>
      <c r="I73" s="98">
        <f t="shared" si="11"/>
        <v>0</v>
      </c>
      <c r="J73" s="98">
        <f t="shared" si="11"/>
        <v>0</v>
      </c>
      <c r="K73" s="98">
        <f t="shared" si="11"/>
        <v>2480</v>
      </c>
      <c r="L73" s="98">
        <f t="shared" si="11"/>
        <v>0</v>
      </c>
      <c r="M73" s="98">
        <f t="shared" si="11"/>
        <v>0</v>
      </c>
      <c r="N73" s="98">
        <f t="shared" si="11"/>
        <v>0</v>
      </c>
      <c r="O73" s="98">
        <f t="shared" si="11"/>
        <v>0</v>
      </c>
      <c r="P73" s="98">
        <f t="shared" si="11"/>
        <v>0</v>
      </c>
      <c r="Q73" s="98">
        <f t="shared" si="11"/>
        <v>34230</v>
      </c>
      <c r="R73" s="98">
        <f t="shared" si="11"/>
        <v>33035</v>
      </c>
      <c r="S73" s="98">
        <f t="shared" si="11"/>
        <v>437925</v>
      </c>
      <c r="T73" s="98">
        <f t="shared" si="11"/>
        <v>-286670</v>
      </c>
      <c r="U73" s="98">
        <f t="shared" si="11"/>
        <v>151255</v>
      </c>
      <c r="V73" s="98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-437925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-437925</v>
      </c>
      <c r="AG73" s="43">
        <f t="shared" si="12"/>
        <v>-286670</v>
      </c>
      <c r="AH73" s="43">
        <f t="shared" si="12"/>
        <v>-724595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34230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</f>
        <v>53270</v>
      </c>
      <c r="S74" s="211"/>
      <c r="T74" s="212">
        <f>R74+R75</f>
        <v>111395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29600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</f>
        <v>58125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33035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</f>
        <v>109545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</f>
        <v>18000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18000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7600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56230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91545</v>
      </c>
      <c r="S80" s="197"/>
      <c r="T80" s="22"/>
      <c r="U80" s="22"/>
      <c r="V80" s="2"/>
      <c r="X80" s="63">
        <f>SUM(X77:X79)</f>
        <v>63830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95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/>
      <c r="S89" s="36">
        <v>3</v>
      </c>
      <c r="T89" s="36"/>
      <c r="U89" s="36">
        <v>3</v>
      </c>
      <c r="V89" s="36"/>
      <c r="W89" s="36"/>
      <c r="X89" s="36">
        <f t="shared" si="13"/>
        <v>0</v>
      </c>
      <c r="Z89" s="36"/>
      <c r="AA89" s="36"/>
    </row>
    <row r="90" spans="1:31">
      <c r="B90" s="36"/>
      <c r="C90" s="36"/>
      <c r="R90" s="36"/>
      <c r="S90" s="36">
        <v>4</v>
      </c>
      <c r="T90" s="36"/>
      <c r="U90" s="36">
        <v>4</v>
      </c>
      <c r="V90" s="36"/>
      <c r="W90" s="36"/>
      <c r="X90" s="36">
        <f t="shared" si="13"/>
        <v>0</v>
      </c>
      <c r="Z90" s="36"/>
      <c r="AA90" s="36"/>
    </row>
    <row r="91" spans="1:31">
      <c r="B91" s="36"/>
      <c r="C91" s="36"/>
      <c r="R91" s="36"/>
      <c r="S91" s="36">
        <v>5</v>
      </c>
      <c r="T91" s="36"/>
      <c r="U91" s="36">
        <v>5</v>
      </c>
      <c r="V91" s="83"/>
      <c r="W91" s="83"/>
      <c r="X91" s="36">
        <f t="shared" si="13"/>
        <v>0</v>
      </c>
      <c r="Z91" s="36"/>
      <c r="AA91" s="36"/>
    </row>
    <row r="92" spans="1:31">
      <c r="B92" s="36"/>
      <c r="C92" s="36"/>
      <c r="R92" s="36"/>
      <c r="S92" s="36">
        <v>6</v>
      </c>
      <c r="T92" s="36"/>
      <c r="U92" s="36">
        <v>6</v>
      </c>
      <c r="V92" s="36"/>
      <c r="W92" s="36"/>
      <c r="X92" s="36">
        <f t="shared" si="13"/>
        <v>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0</v>
      </c>
      <c r="R118" s="63">
        <f t="shared" si="14"/>
        <v>18000</v>
      </c>
      <c r="S118" s="63"/>
      <c r="T118" s="63">
        <f>SUM(T87:T117)</f>
        <v>109545</v>
      </c>
      <c r="U118" s="63"/>
      <c r="V118" s="63">
        <f>SUM(V87:V117)</f>
        <v>53270</v>
      </c>
      <c r="W118" s="63">
        <f>SUM(W87:W117)</f>
        <v>58125</v>
      </c>
      <c r="X118" s="36">
        <f>SUM(V118:W118)</f>
        <v>111395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O73" sqref="O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178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179</v>
      </c>
      <c r="P6" s="30" t="s">
        <v>175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11800</v>
      </c>
      <c r="D7" s="6"/>
      <c r="E7" s="6"/>
      <c r="F7" s="6"/>
      <c r="G7" s="6">
        <f>2200+3000</f>
        <v>5200</v>
      </c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5200</v>
      </c>
      <c r="R7" s="6"/>
      <c r="S7" s="6">
        <f>C7+D7-R7</f>
        <v>11800</v>
      </c>
      <c r="T7" s="34">
        <v>-9150</v>
      </c>
      <c r="U7" s="6">
        <f>S7+T7</f>
        <v>2650</v>
      </c>
      <c r="V7" s="52"/>
      <c r="W7" s="57"/>
      <c r="X7" s="46"/>
      <c r="Y7" s="65"/>
      <c r="Z7" s="66">
        <f>W7-S7</f>
        <v>-11800</v>
      </c>
      <c r="AA7" s="65"/>
      <c r="AB7" s="67"/>
      <c r="AC7" s="65"/>
      <c r="AD7" s="47"/>
      <c r="AE7" s="61"/>
      <c r="AF7" s="52">
        <f>SUM(Y7:AE7)</f>
        <v>-11800</v>
      </c>
      <c r="AG7" s="46">
        <f>U7+AF7</f>
        <v>-9150</v>
      </c>
      <c r="AH7" s="51">
        <f>AG7-S7</f>
        <v>-20950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36800</v>
      </c>
      <c r="D8" s="6"/>
      <c r="E8" s="6"/>
      <c r="F8" s="6"/>
      <c r="G8" s="6">
        <f>5750+5050</f>
        <v>10800</v>
      </c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10800</v>
      </c>
      <c r="R8" s="6">
        <f>3000+500</f>
        <v>3500</v>
      </c>
      <c r="S8" s="6">
        <f t="shared" ref="S8:S71" si="1">C8+D8-R8</f>
        <v>33300</v>
      </c>
      <c r="T8" s="6">
        <v>-24350</v>
      </c>
      <c r="U8" s="6">
        <f t="shared" ref="U8:U71" si="2">S8+T8</f>
        <v>8950</v>
      </c>
      <c r="V8" s="52"/>
      <c r="W8" s="57"/>
      <c r="X8" s="46"/>
      <c r="Y8" s="61"/>
      <c r="Z8" s="66">
        <f t="shared" ref="Z8:Z71" si="3">W8-S8</f>
        <v>-33300</v>
      </c>
      <c r="AA8" s="61"/>
      <c r="AB8" s="67"/>
      <c r="AC8" s="61"/>
      <c r="AD8" s="66"/>
      <c r="AE8" s="61"/>
      <c r="AF8" s="52">
        <f t="shared" ref="AF8:AF71" si="4">SUM(Y8:AE8)</f>
        <v>-33300</v>
      </c>
      <c r="AG8" s="46">
        <f t="shared" ref="AG8:AG71" si="5">U8+AF8</f>
        <v>-24350</v>
      </c>
      <c r="AH8" s="51">
        <f t="shared" ref="AH8:AH71" si="6">AG8-S8</f>
        <v>-57650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>
        <v>15000</v>
      </c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15000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12250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12250</v>
      </c>
      <c r="T11" s="6">
        <v>-3750</v>
      </c>
      <c r="U11" s="6">
        <f t="shared" si="2"/>
        <v>8500</v>
      </c>
      <c r="V11" s="52"/>
      <c r="W11" s="57"/>
      <c r="X11" s="46"/>
      <c r="Y11" s="61"/>
      <c r="Z11" s="66">
        <f t="shared" si="3"/>
        <v>-12250</v>
      </c>
      <c r="AA11" s="61"/>
      <c r="AB11" s="67"/>
      <c r="AC11" s="61"/>
      <c r="AD11" s="66"/>
      <c r="AE11" s="61"/>
      <c r="AF11" s="52">
        <f t="shared" si="4"/>
        <v>-12250</v>
      </c>
      <c r="AG11" s="46">
        <f t="shared" si="5"/>
        <v>-3750</v>
      </c>
      <c r="AH11" s="51">
        <f t="shared" si="6"/>
        <v>-16000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1750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250</v>
      </c>
      <c r="S12" s="6">
        <f t="shared" si="1"/>
        <v>1500</v>
      </c>
      <c r="T12" s="6">
        <v>4700</v>
      </c>
      <c r="U12" s="6">
        <f t="shared" si="2"/>
        <v>6200</v>
      </c>
      <c r="V12" s="52"/>
      <c r="W12" s="57"/>
      <c r="X12" s="46"/>
      <c r="Y12" s="61"/>
      <c r="Z12" s="66">
        <f t="shared" si="3"/>
        <v>-1500</v>
      </c>
      <c r="AA12" s="61"/>
      <c r="AB12" s="67"/>
      <c r="AC12" s="61"/>
      <c r="AD12" s="66"/>
      <c r="AE12" s="61"/>
      <c r="AF12" s="52">
        <f t="shared" si="4"/>
        <v>-1500</v>
      </c>
      <c r="AG12" s="46">
        <f t="shared" si="5"/>
        <v>4700</v>
      </c>
      <c r="AH12" s="51">
        <f t="shared" si="6"/>
        <v>3200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43710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2000+1500+50+6000+2000</f>
        <v>11550</v>
      </c>
      <c r="S14" s="6">
        <f t="shared" si="1"/>
        <v>32160</v>
      </c>
      <c r="T14" s="6">
        <v>-5760</v>
      </c>
      <c r="U14" s="6">
        <f t="shared" si="2"/>
        <v>26400</v>
      </c>
      <c r="V14" s="52"/>
      <c r="W14" s="57"/>
      <c r="X14" s="46"/>
      <c r="Y14" s="61"/>
      <c r="Z14" s="66">
        <f t="shared" si="3"/>
        <v>-32160</v>
      </c>
      <c r="AA14" s="61"/>
      <c r="AB14" s="66"/>
      <c r="AC14" s="61"/>
      <c r="AD14" s="66"/>
      <c r="AE14" s="61"/>
      <c r="AF14" s="52">
        <f t="shared" si="4"/>
        <v>-32160</v>
      </c>
      <c r="AG14" s="46">
        <f t="shared" si="5"/>
        <v>-5760</v>
      </c>
      <c r="AH14" s="51">
        <f t="shared" si="6"/>
        <v>-37920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13400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100</v>
      </c>
      <c r="S16" s="6">
        <f t="shared" si="1"/>
        <v>13300</v>
      </c>
      <c r="T16" s="34">
        <v>-10050</v>
      </c>
      <c r="U16" s="6">
        <f t="shared" si="2"/>
        <v>3250</v>
      </c>
      <c r="V16" s="52"/>
      <c r="W16" s="57"/>
      <c r="X16" s="46"/>
      <c r="Y16" s="61"/>
      <c r="Z16" s="66">
        <f t="shared" si="3"/>
        <v>-13300</v>
      </c>
      <c r="AA16" s="61"/>
      <c r="AB16" s="67"/>
      <c r="AC16" s="61"/>
      <c r="AD16" s="47"/>
      <c r="AE16" s="61"/>
      <c r="AF16" s="52">
        <f t="shared" si="4"/>
        <v>-13300</v>
      </c>
      <c r="AG16" s="46">
        <f t="shared" si="5"/>
        <v>-10050</v>
      </c>
      <c r="AH16" s="51">
        <f t="shared" si="6"/>
        <v>-23350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12300</v>
      </c>
      <c r="D17" s="6"/>
      <c r="E17" s="6"/>
      <c r="F17" s="6"/>
      <c r="G17" s="6">
        <v>3100</v>
      </c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3100</v>
      </c>
      <c r="R17" s="6">
        <v>100</v>
      </c>
      <c r="S17" s="6">
        <f t="shared" si="1"/>
        <v>12200</v>
      </c>
      <c r="T17" s="6">
        <v>-5000</v>
      </c>
      <c r="U17" s="6">
        <f t="shared" si="2"/>
        <v>7200</v>
      </c>
      <c r="V17" s="52"/>
      <c r="W17" s="57"/>
      <c r="X17" s="46"/>
      <c r="Y17" s="61"/>
      <c r="Z17" s="66">
        <f t="shared" si="3"/>
        <v>-12200</v>
      </c>
      <c r="AA17" s="61"/>
      <c r="AB17" s="66"/>
      <c r="AC17" s="61"/>
      <c r="AD17" s="66"/>
      <c r="AE17" s="61"/>
      <c r="AF17" s="52">
        <f t="shared" si="4"/>
        <v>-12200</v>
      </c>
      <c r="AG17" s="46">
        <f t="shared" si="5"/>
        <v>-5000</v>
      </c>
      <c r="AH17" s="51">
        <f t="shared" si="6"/>
        <v>-17200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7">
        <f t="shared" si="0"/>
        <v>0</v>
      </c>
      <c r="R22" s="154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7">
        <f t="shared" si="0"/>
        <v>0</v>
      </c>
      <c r="R24" s="154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7">
        <f t="shared" si="0"/>
        <v>0</v>
      </c>
      <c r="R25" s="154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7">
        <f t="shared" si="0"/>
        <v>0</v>
      </c>
      <c r="R26" s="154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>
        <v>3000</v>
      </c>
      <c r="P27" s="154"/>
      <c r="Q27" s="7">
        <f t="shared" si="0"/>
        <v>3000</v>
      </c>
      <c r="R27" s="154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1720</v>
      </c>
      <c r="D28" s="6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7">
        <f t="shared" si="0"/>
        <v>0</v>
      </c>
      <c r="R28" s="154">
        <v>200</v>
      </c>
      <c r="S28" s="6">
        <f t="shared" si="1"/>
        <v>1520</v>
      </c>
      <c r="T28" s="6">
        <f>-40-100</f>
        <v>-140</v>
      </c>
      <c r="U28" s="6">
        <f t="shared" si="2"/>
        <v>1380</v>
      </c>
      <c r="V28" s="52"/>
      <c r="W28" s="57"/>
      <c r="X28" s="46"/>
      <c r="Y28" s="61"/>
      <c r="Z28" s="66">
        <f t="shared" si="3"/>
        <v>-1520</v>
      </c>
      <c r="AA28" s="61"/>
      <c r="AB28" s="67"/>
      <c r="AC28" s="61"/>
      <c r="AD28" s="66"/>
      <c r="AE28" s="61"/>
      <c r="AF28" s="52">
        <f t="shared" si="4"/>
        <v>-1520</v>
      </c>
      <c r="AG28" s="46">
        <f t="shared" si="5"/>
        <v>-140</v>
      </c>
      <c r="AH28" s="51">
        <f t="shared" si="6"/>
        <v>-1660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980</v>
      </c>
      <c r="D29" s="6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7">
        <f t="shared" si="0"/>
        <v>0</v>
      </c>
      <c r="R29" s="154"/>
      <c r="S29" s="6">
        <f t="shared" si="1"/>
        <v>980</v>
      </c>
      <c r="T29" s="6">
        <f>860+100</f>
        <v>960</v>
      </c>
      <c r="U29" s="6">
        <f t="shared" si="2"/>
        <v>1940</v>
      </c>
      <c r="V29" s="52"/>
      <c r="W29" s="57"/>
      <c r="X29" s="46"/>
      <c r="Y29" s="61"/>
      <c r="Z29" s="66">
        <f t="shared" si="3"/>
        <v>-980</v>
      </c>
      <c r="AA29" s="61"/>
      <c r="AB29" s="67"/>
      <c r="AC29" s="61"/>
      <c r="AD29" s="66"/>
      <c r="AE29" s="61"/>
      <c r="AF29" s="52">
        <f t="shared" si="4"/>
        <v>-980</v>
      </c>
      <c r="AG29" s="46">
        <f t="shared" si="5"/>
        <v>960</v>
      </c>
      <c r="AH29" s="51">
        <f t="shared" si="6"/>
        <v>-20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7">
        <f t="shared" si="0"/>
        <v>0</v>
      </c>
      <c r="R30" s="154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54"/>
      <c r="F31" s="154"/>
      <c r="G31" s="154"/>
      <c r="H31" s="154"/>
      <c r="I31" s="154"/>
      <c r="J31" s="154"/>
      <c r="K31" s="154">
        <v>2500</v>
      </c>
      <c r="L31" s="154"/>
      <c r="M31" s="154"/>
      <c r="N31" s="154"/>
      <c r="O31" s="154"/>
      <c r="P31" s="154"/>
      <c r="Q31" s="7">
        <f t="shared" si="0"/>
        <v>2500</v>
      </c>
      <c r="R31" s="154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29500</v>
      </c>
      <c r="D32" s="6"/>
      <c r="E32" s="154"/>
      <c r="F32" s="154"/>
      <c r="G32" s="154"/>
      <c r="H32" s="154"/>
      <c r="I32" s="154"/>
      <c r="J32" s="154"/>
      <c r="K32" s="154">
        <v>5500</v>
      </c>
      <c r="L32" s="154"/>
      <c r="M32" s="154"/>
      <c r="N32" s="154"/>
      <c r="O32" s="6"/>
      <c r="P32" s="6"/>
      <c r="Q32" s="7">
        <f>SUM(E32:P32)</f>
        <v>5500</v>
      </c>
      <c r="R32" s="154"/>
      <c r="S32" s="6">
        <f t="shared" si="1"/>
        <v>29500</v>
      </c>
      <c r="T32" s="6">
        <v>-18280</v>
      </c>
      <c r="U32" s="6">
        <f t="shared" si="2"/>
        <v>11220</v>
      </c>
      <c r="V32" s="52"/>
      <c r="W32" s="57"/>
      <c r="X32" s="46"/>
      <c r="Y32" s="61"/>
      <c r="Z32" s="66">
        <f t="shared" si="3"/>
        <v>-29500</v>
      </c>
      <c r="AA32" s="61"/>
      <c r="AB32" s="67"/>
      <c r="AC32" s="61"/>
      <c r="AD32" s="66"/>
      <c r="AE32" s="61"/>
      <c r="AF32" s="52">
        <f t="shared" si="4"/>
        <v>-29500</v>
      </c>
      <c r="AG32" s="46">
        <f t="shared" si="5"/>
        <v>-18280</v>
      </c>
      <c r="AH32" s="51">
        <f t="shared" si="6"/>
        <v>-47780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7">
        <f t="shared" si="0"/>
        <v>0</v>
      </c>
      <c r="R33" s="154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2860</v>
      </c>
      <c r="D34" s="6"/>
      <c r="E34" s="154"/>
      <c r="F34" s="154"/>
      <c r="G34" s="154"/>
      <c r="H34" s="154"/>
      <c r="I34" s="154"/>
      <c r="J34" s="154"/>
      <c r="K34" s="6"/>
      <c r="L34" s="154"/>
      <c r="M34" s="154"/>
      <c r="N34" s="154"/>
      <c r="O34" s="154"/>
      <c r="P34" s="154"/>
      <c r="Q34" s="7">
        <f t="shared" si="0"/>
        <v>0</v>
      </c>
      <c r="R34" s="154"/>
      <c r="S34" s="6">
        <f t="shared" si="1"/>
        <v>2860</v>
      </c>
      <c r="T34" s="6">
        <v>2960</v>
      </c>
      <c r="U34" s="6">
        <f t="shared" si="2"/>
        <v>5820</v>
      </c>
      <c r="V34" s="52"/>
      <c r="W34" s="57"/>
      <c r="X34" s="46"/>
      <c r="Y34" s="61"/>
      <c r="Z34" s="66">
        <f t="shared" si="3"/>
        <v>-2860</v>
      </c>
      <c r="AA34" s="61"/>
      <c r="AB34" s="67"/>
      <c r="AC34" s="61"/>
      <c r="AD34" s="66"/>
      <c r="AE34" s="61"/>
      <c r="AF34" s="52">
        <f t="shared" si="4"/>
        <v>-2860</v>
      </c>
      <c r="AG34" s="46">
        <f t="shared" si="5"/>
        <v>2960</v>
      </c>
      <c r="AH34" s="51">
        <f t="shared" si="6"/>
        <v>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54"/>
      <c r="F35" s="154"/>
      <c r="G35" s="154"/>
      <c r="H35" s="154"/>
      <c r="I35" s="154"/>
      <c r="J35" s="154"/>
      <c r="K35" s="6">
        <v>3250</v>
      </c>
      <c r="L35" s="154"/>
      <c r="M35" s="154"/>
      <c r="N35" s="154"/>
      <c r="O35" s="154"/>
      <c r="P35" s="154"/>
      <c r="Q35" s="7">
        <f t="shared" si="0"/>
        <v>3250</v>
      </c>
      <c r="R35" s="154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7">
        <f t="shared" si="0"/>
        <v>0</v>
      </c>
      <c r="R36" s="154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7">
        <f t="shared" si="0"/>
        <v>0</v>
      </c>
      <c r="R37" s="154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1340</v>
      </c>
      <c r="D38" s="6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7">
        <f>SUM(E38:P38)</f>
        <v>0</v>
      </c>
      <c r="R38" s="154"/>
      <c r="S38" s="6">
        <f t="shared" si="1"/>
        <v>1340</v>
      </c>
      <c r="T38" s="6">
        <v>-1340</v>
      </c>
      <c r="U38" s="6">
        <f t="shared" si="2"/>
        <v>0</v>
      </c>
      <c r="V38" s="52"/>
      <c r="W38" s="57"/>
      <c r="X38" s="46"/>
      <c r="Y38" s="61"/>
      <c r="Z38" s="66">
        <f t="shared" si="3"/>
        <v>-1340</v>
      </c>
      <c r="AA38" s="61"/>
      <c r="AB38" s="64"/>
      <c r="AC38" s="61"/>
      <c r="AD38" s="66"/>
      <c r="AE38" s="61"/>
      <c r="AF38" s="52">
        <f t="shared" si="4"/>
        <v>-1340</v>
      </c>
      <c r="AG38" s="46">
        <f t="shared" si="5"/>
        <v>-1340</v>
      </c>
      <c r="AH38" s="51">
        <f t="shared" si="6"/>
        <v>-2680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7">
        <f>SUM(E39:P39)</f>
        <v>0</v>
      </c>
      <c r="R39" s="154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154"/>
      <c r="F40" s="154"/>
      <c r="G40" s="154"/>
      <c r="H40" s="27"/>
      <c r="I40" s="154"/>
      <c r="J40" s="154"/>
      <c r="K40" s="154"/>
      <c r="L40" s="154"/>
      <c r="M40" s="154"/>
      <c r="N40" s="154"/>
      <c r="O40" s="154"/>
      <c r="P40" s="154"/>
      <c r="Q40" s="7">
        <f>SUM(E40:P40)</f>
        <v>0</v>
      </c>
      <c r="R40" s="154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7">
        <f>SUM(E41:P41)</f>
        <v>0</v>
      </c>
      <c r="R41" s="154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3720</v>
      </c>
      <c r="D42" s="6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7">
        <f>SUM(E42:P42)</f>
        <v>0</v>
      </c>
      <c r="R42" s="154">
        <v>1000</v>
      </c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7">
        <f t="shared" si="0"/>
        <v>0</v>
      </c>
      <c r="R44" s="154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7">
        <f t="shared" si="0"/>
        <v>0</v>
      </c>
      <c r="R45" s="154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7">
        <f t="shared" si="0"/>
        <v>0</v>
      </c>
      <c r="R46" s="154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7">
        <f t="shared" si="0"/>
        <v>0</v>
      </c>
      <c r="R47" s="154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7">
        <f t="shared" si="0"/>
        <v>0</v>
      </c>
      <c r="R48" s="154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7">
        <f t="shared" si="0"/>
        <v>0</v>
      </c>
      <c r="R49" s="154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5050</v>
      </c>
      <c r="D50" s="6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7">
        <f t="shared" si="0"/>
        <v>0</v>
      </c>
      <c r="R50" s="154"/>
      <c r="S50" s="6">
        <f t="shared" si="1"/>
        <v>5050</v>
      </c>
      <c r="T50" s="6">
        <f>-12000+8615</f>
        <v>-3385</v>
      </c>
      <c r="U50" s="6">
        <f t="shared" si="2"/>
        <v>1665</v>
      </c>
      <c r="V50" s="52"/>
      <c r="W50" s="57"/>
      <c r="X50" s="46"/>
      <c r="Y50" s="61"/>
      <c r="Z50" s="66">
        <f t="shared" si="3"/>
        <v>-5050</v>
      </c>
      <c r="AA50" s="61"/>
      <c r="AB50" s="64"/>
      <c r="AC50" s="61"/>
      <c r="AD50" s="66"/>
      <c r="AE50" s="61"/>
      <c r="AF50" s="52">
        <f t="shared" si="4"/>
        <v>-5050</v>
      </c>
      <c r="AG50" s="46">
        <f t="shared" si="5"/>
        <v>-3385</v>
      </c>
      <c r="AH50" s="51">
        <f t="shared" si="6"/>
        <v>-8435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7">
        <f t="shared" si="0"/>
        <v>0</v>
      </c>
      <c r="R51" s="154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7">
        <f t="shared" si="0"/>
        <v>0</v>
      </c>
      <c r="R52" s="154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12025</v>
      </c>
      <c r="D53" s="6">
        <v>2000</v>
      </c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7">
        <f t="shared" si="0"/>
        <v>0</v>
      </c>
      <c r="R53" s="154"/>
      <c r="S53" s="6">
        <f t="shared" si="1"/>
        <v>14025</v>
      </c>
      <c r="T53" s="6">
        <v>-11550</v>
      </c>
      <c r="U53" s="6">
        <f t="shared" si="2"/>
        <v>2475</v>
      </c>
      <c r="V53" s="52"/>
      <c r="W53" s="57"/>
      <c r="X53" s="46"/>
      <c r="Y53" s="61"/>
      <c r="Z53" s="66">
        <f t="shared" si="3"/>
        <v>-14025</v>
      </c>
      <c r="AA53" s="61"/>
      <c r="AB53" s="67"/>
      <c r="AC53" s="61"/>
      <c r="AD53" s="66"/>
      <c r="AE53" s="61"/>
      <c r="AF53" s="52">
        <f t="shared" si="4"/>
        <v>-14025</v>
      </c>
      <c r="AG53" s="46">
        <f t="shared" si="5"/>
        <v>-11550</v>
      </c>
      <c r="AH53" s="51">
        <f t="shared" si="6"/>
        <v>-25575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7">
        <f t="shared" si="0"/>
        <v>0</v>
      </c>
      <c r="R54" s="154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7">
        <f t="shared" si="0"/>
        <v>0</v>
      </c>
      <c r="R55" s="154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7">
        <f>SUM(E56:P56)</f>
        <v>0</v>
      </c>
      <c r="R56" s="154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7">
        <f t="shared" si="0"/>
        <v>0</v>
      </c>
      <c r="R61" s="154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7">
        <f t="shared" si="0"/>
        <v>0</v>
      </c>
      <c r="R62" s="153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7">
        <f t="shared" si="0"/>
        <v>0</v>
      </c>
      <c r="R63" s="153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7">
        <f t="shared" si="0"/>
        <v>0</v>
      </c>
      <c r="R64" s="153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7">
        <f t="shared" si="0"/>
        <v>0</v>
      </c>
      <c r="R65" s="153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52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7">
        <f t="shared" si="0"/>
        <v>0</v>
      </c>
      <c r="R67" s="154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7">
        <f t="shared" si="0"/>
        <v>0</v>
      </c>
      <c r="R68" s="154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29650</v>
      </c>
      <c r="D69" s="154">
        <v>2350</v>
      </c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7">
        <f t="shared" si="0"/>
        <v>0</v>
      </c>
      <c r="R69" s="154">
        <f>375+125+7000</f>
        <v>7500</v>
      </c>
      <c r="S69" s="6">
        <f t="shared" si="1"/>
        <v>24500</v>
      </c>
      <c r="T69" s="6">
        <v>-16950</v>
      </c>
      <c r="U69" s="6">
        <f t="shared" si="2"/>
        <v>7550</v>
      </c>
      <c r="V69" s="52"/>
      <c r="W69" s="57"/>
      <c r="X69" s="46"/>
      <c r="Y69" s="61"/>
      <c r="Z69" s="66">
        <f t="shared" si="3"/>
        <v>-24500</v>
      </c>
      <c r="AA69" s="61"/>
      <c r="AB69" s="64"/>
      <c r="AC69" s="61"/>
      <c r="AD69" s="66"/>
      <c r="AE69" s="61"/>
      <c r="AF69" s="52">
        <f t="shared" si="4"/>
        <v>-24500</v>
      </c>
      <c r="AG69" s="46">
        <f t="shared" si="5"/>
        <v>-16950</v>
      </c>
      <c r="AH69" s="51">
        <f t="shared" si="6"/>
        <v>-41450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15700</v>
      </c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7">
        <f t="shared" si="0"/>
        <v>0</v>
      </c>
      <c r="R70" s="154">
        <v>5000</v>
      </c>
      <c r="S70" s="6">
        <f t="shared" si="1"/>
        <v>10700</v>
      </c>
      <c r="T70" s="6">
        <v>-9425</v>
      </c>
      <c r="U70" s="6">
        <f t="shared" si="2"/>
        <v>1275</v>
      </c>
      <c r="V70" s="52"/>
      <c r="W70" s="57"/>
      <c r="X70" s="46"/>
      <c r="Y70" s="61"/>
      <c r="Z70" s="66">
        <f t="shared" si="3"/>
        <v>-10700</v>
      </c>
      <c r="AA70" s="61"/>
      <c r="AB70" s="67"/>
      <c r="AC70" s="61"/>
      <c r="AD70" s="66"/>
      <c r="AE70" s="61"/>
      <c r="AF70" s="52">
        <f t="shared" si="4"/>
        <v>-10700</v>
      </c>
      <c r="AG70" s="46">
        <f t="shared" si="5"/>
        <v>-9425</v>
      </c>
      <c r="AH70" s="51">
        <f t="shared" si="6"/>
        <v>-20125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50000</v>
      </c>
      <c r="D71" s="154">
        <v>10000</v>
      </c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7">
        <f t="shared" si="0"/>
        <v>0</v>
      </c>
      <c r="R71" s="154">
        <f>5000+375+125+10000</f>
        <v>15500</v>
      </c>
      <c r="S71" s="6">
        <f t="shared" si="1"/>
        <v>44500</v>
      </c>
      <c r="T71" s="6">
        <v>-27500</v>
      </c>
      <c r="U71" s="6">
        <f t="shared" si="2"/>
        <v>17000</v>
      </c>
      <c r="V71" s="52"/>
      <c r="W71" s="57"/>
      <c r="X71" s="46"/>
      <c r="Y71" s="61"/>
      <c r="Z71" s="66">
        <f t="shared" si="3"/>
        <v>-44500</v>
      </c>
      <c r="AA71" s="61"/>
      <c r="AB71" s="64"/>
      <c r="AC71" s="61"/>
      <c r="AD71" s="66"/>
      <c r="AE71" s="61"/>
      <c r="AF71" s="52">
        <f t="shared" si="4"/>
        <v>-44500</v>
      </c>
      <c r="AG71" s="46">
        <f t="shared" si="5"/>
        <v>-27500</v>
      </c>
      <c r="AH71" s="51">
        <f t="shared" si="6"/>
        <v>-72000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54">
        <f>SUM(C7:C72)</f>
        <v>456810</v>
      </c>
      <c r="D73" s="154">
        <f t="shared" ref="D73:V73" si="11">SUM(D7:D72)</f>
        <v>14350</v>
      </c>
      <c r="E73" s="154">
        <f t="shared" si="11"/>
        <v>0</v>
      </c>
      <c r="F73" s="154">
        <f t="shared" si="11"/>
        <v>0</v>
      </c>
      <c r="G73" s="154">
        <f t="shared" si="11"/>
        <v>34100</v>
      </c>
      <c r="H73" s="27">
        <f t="shared" si="11"/>
        <v>0</v>
      </c>
      <c r="I73" s="154">
        <f t="shared" si="11"/>
        <v>0</v>
      </c>
      <c r="J73" s="154">
        <f t="shared" si="11"/>
        <v>0</v>
      </c>
      <c r="K73" s="154">
        <f t="shared" si="11"/>
        <v>11250</v>
      </c>
      <c r="L73" s="154">
        <f t="shared" si="11"/>
        <v>0</v>
      </c>
      <c r="M73" s="154">
        <f t="shared" si="11"/>
        <v>0</v>
      </c>
      <c r="N73" s="154">
        <f t="shared" si="11"/>
        <v>0</v>
      </c>
      <c r="O73" s="154">
        <f t="shared" si="11"/>
        <v>3000</v>
      </c>
      <c r="P73" s="154">
        <f t="shared" si="11"/>
        <v>0</v>
      </c>
      <c r="Q73" s="154">
        <f t="shared" si="11"/>
        <v>48350</v>
      </c>
      <c r="R73" s="154">
        <f t="shared" si="11"/>
        <v>44700</v>
      </c>
      <c r="S73" s="154">
        <f t="shared" si="11"/>
        <v>426460</v>
      </c>
      <c r="T73" s="154">
        <f t="shared" si="11"/>
        <v>-286670</v>
      </c>
      <c r="U73" s="154">
        <f t="shared" si="11"/>
        <v>139790</v>
      </c>
      <c r="V73" s="154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-426460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-426460</v>
      </c>
      <c r="AG73" s="43">
        <f t="shared" si="12"/>
        <v>-286670</v>
      </c>
      <c r="AH73" s="43">
        <f t="shared" si="12"/>
        <v>-713130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48350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</f>
        <v>608095</v>
      </c>
      <c r="S74" s="211"/>
      <c r="T74" s="212">
        <f>R74+R75</f>
        <v>1493230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14350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</f>
        <v>885135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44700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</f>
        <v>948260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</f>
        <v>179600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201100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51550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11150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747160</v>
      </c>
      <c r="S80" s="197"/>
      <c r="T80" s="22"/>
      <c r="U80" s="22"/>
      <c r="V80" s="2"/>
      <c r="X80" s="63">
        <f>SUM(X77:X79)</f>
        <v>62700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51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15000</v>
      </c>
      <c r="R118" s="63">
        <f t="shared" si="14"/>
        <v>179600</v>
      </c>
      <c r="S118" s="63"/>
      <c r="T118" s="63">
        <f>SUM(T87:T117)</f>
        <v>948260</v>
      </c>
      <c r="U118" s="63"/>
      <c r="V118" s="63">
        <f>SUM(V87:V117)</f>
        <v>608095</v>
      </c>
      <c r="W118" s="63">
        <f>SUM(W87:W117)</f>
        <v>885135</v>
      </c>
      <c r="X118" s="36">
        <f>SUM(V118:W118)</f>
        <v>1493230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1" activePane="bottomRight" state="frozen"/>
      <selection activeCell="O32" sqref="O32"/>
      <selection pane="topRight" activeCell="O32" sqref="O32"/>
      <selection pane="bottomLeft" activeCell="O32" sqref="O32"/>
      <selection pane="bottomRight" activeCell="O73" sqref="O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180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179</v>
      </c>
      <c r="P6" s="30" t="s">
        <v>175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11800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500</v>
      </c>
      <c r="S7" s="6">
        <f>C7+D7-R7</f>
        <v>11300</v>
      </c>
      <c r="T7" s="34">
        <v>-9150</v>
      </c>
      <c r="U7" s="6">
        <f>S7+T7</f>
        <v>2150</v>
      </c>
      <c r="V7" s="52"/>
      <c r="W7" s="57"/>
      <c r="X7" s="46"/>
      <c r="Y7" s="65"/>
      <c r="Z7" s="66">
        <f>W7-S7</f>
        <v>-11300</v>
      </c>
      <c r="AA7" s="65"/>
      <c r="AB7" s="67"/>
      <c r="AC7" s="65"/>
      <c r="AD7" s="47"/>
      <c r="AE7" s="61"/>
      <c r="AF7" s="52">
        <f>SUM(Y7:AE7)</f>
        <v>-11300</v>
      </c>
      <c r="AG7" s="46">
        <f>U7+AF7</f>
        <v>-9150</v>
      </c>
      <c r="AH7" s="51">
        <f>AG7-S7</f>
        <v>-20450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33300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2000</v>
      </c>
      <c r="S8" s="6">
        <f t="shared" ref="S8:S71" si="1">C8+D8-R8</f>
        <v>31300</v>
      </c>
      <c r="T8" s="6">
        <v>-24350</v>
      </c>
      <c r="U8" s="6">
        <f t="shared" ref="U8:U71" si="2">S8+T8</f>
        <v>6950</v>
      </c>
      <c r="V8" s="52"/>
      <c r="W8" s="57"/>
      <c r="X8" s="46"/>
      <c r="Y8" s="61"/>
      <c r="Z8" s="66">
        <f t="shared" ref="Z8:Z71" si="3">W8-S8</f>
        <v>-31300</v>
      </c>
      <c r="AA8" s="61"/>
      <c r="AB8" s="67"/>
      <c r="AC8" s="61"/>
      <c r="AD8" s="66"/>
      <c r="AE8" s="61"/>
      <c r="AF8" s="52">
        <f t="shared" ref="AF8:AF71" si="4">SUM(Y8:AE8)</f>
        <v>-31300</v>
      </c>
      <c r="AG8" s="46">
        <f t="shared" ref="AG8:AG71" si="5">U8+AF8</f>
        <v>-24350</v>
      </c>
      <c r="AH8" s="51">
        <f t="shared" ref="AH8:AH71" si="6">AG8-S8</f>
        <v>-55650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12250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1000+450+2100</f>
        <v>3550</v>
      </c>
      <c r="S11" s="6">
        <f t="shared" si="1"/>
        <v>8700</v>
      </c>
      <c r="T11" s="6">
        <v>-3750</v>
      </c>
      <c r="U11" s="6">
        <f t="shared" si="2"/>
        <v>4950</v>
      </c>
      <c r="V11" s="52"/>
      <c r="W11" s="57"/>
      <c r="X11" s="46"/>
      <c r="Y11" s="61"/>
      <c r="Z11" s="66">
        <f t="shared" si="3"/>
        <v>-8700</v>
      </c>
      <c r="AA11" s="61"/>
      <c r="AB11" s="67"/>
      <c r="AC11" s="61"/>
      <c r="AD11" s="66"/>
      <c r="AE11" s="61"/>
      <c r="AF11" s="52">
        <f t="shared" si="4"/>
        <v>-8700</v>
      </c>
      <c r="AG11" s="46">
        <f t="shared" si="5"/>
        <v>-3750</v>
      </c>
      <c r="AH11" s="51">
        <f t="shared" si="6"/>
        <v>-12450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1500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1500</v>
      </c>
      <c r="T12" s="6">
        <v>4700</v>
      </c>
      <c r="U12" s="6">
        <f t="shared" si="2"/>
        <v>6200</v>
      </c>
      <c r="V12" s="52"/>
      <c r="W12" s="57"/>
      <c r="X12" s="46"/>
      <c r="Y12" s="61"/>
      <c r="Z12" s="66">
        <f t="shared" si="3"/>
        <v>-1500</v>
      </c>
      <c r="AA12" s="61"/>
      <c r="AB12" s="67"/>
      <c r="AC12" s="61"/>
      <c r="AD12" s="66"/>
      <c r="AE12" s="61"/>
      <c r="AF12" s="52">
        <f t="shared" si="4"/>
        <v>-1500</v>
      </c>
      <c r="AG12" s="46">
        <f t="shared" si="5"/>
        <v>4700</v>
      </c>
      <c r="AH12" s="51">
        <f t="shared" si="6"/>
        <v>3200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32160</v>
      </c>
      <c r="D14" s="6">
        <v>7000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5000+450+1500+1500+3900</f>
        <v>12350</v>
      </c>
      <c r="S14" s="6">
        <f t="shared" si="1"/>
        <v>26810</v>
      </c>
      <c r="T14" s="6">
        <v>-5760</v>
      </c>
      <c r="U14" s="6">
        <f t="shared" si="2"/>
        <v>21050</v>
      </c>
      <c r="V14" s="52"/>
      <c r="W14" s="57"/>
      <c r="X14" s="46"/>
      <c r="Y14" s="61"/>
      <c r="Z14" s="66">
        <f t="shared" si="3"/>
        <v>-26810</v>
      </c>
      <c r="AA14" s="61"/>
      <c r="AB14" s="66"/>
      <c r="AC14" s="61"/>
      <c r="AD14" s="66"/>
      <c r="AE14" s="61"/>
      <c r="AF14" s="52">
        <f t="shared" si="4"/>
        <v>-26810</v>
      </c>
      <c r="AG14" s="46">
        <f t="shared" si="5"/>
        <v>-5760</v>
      </c>
      <c r="AH14" s="51">
        <f t="shared" si="6"/>
        <v>-32570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13300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13300</v>
      </c>
      <c r="T16" s="34">
        <v>-10050</v>
      </c>
      <c r="U16" s="6">
        <f t="shared" si="2"/>
        <v>3250</v>
      </c>
      <c r="V16" s="52"/>
      <c r="W16" s="57"/>
      <c r="X16" s="46"/>
      <c r="Y16" s="61"/>
      <c r="Z16" s="66">
        <f t="shared" si="3"/>
        <v>-13300</v>
      </c>
      <c r="AA16" s="61"/>
      <c r="AB16" s="67"/>
      <c r="AC16" s="61"/>
      <c r="AD16" s="47"/>
      <c r="AE16" s="61"/>
      <c r="AF16" s="52">
        <f t="shared" si="4"/>
        <v>-13300</v>
      </c>
      <c r="AG16" s="46">
        <f t="shared" si="5"/>
        <v>-10050</v>
      </c>
      <c r="AH16" s="51">
        <f t="shared" si="6"/>
        <v>-23350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12200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12200</v>
      </c>
      <c r="T17" s="6">
        <v>-5000</v>
      </c>
      <c r="U17" s="6">
        <f t="shared" si="2"/>
        <v>7200</v>
      </c>
      <c r="V17" s="52"/>
      <c r="W17" s="57"/>
      <c r="X17" s="46"/>
      <c r="Y17" s="61"/>
      <c r="Z17" s="66">
        <f t="shared" si="3"/>
        <v>-12200</v>
      </c>
      <c r="AA17" s="61"/>
      <c r="AB17" s="66"/>
      <c r="AC17" s="61"/>
      <c r="AD17" s="66"/>
      <c r="AE17" s="61"/>
      <c r="AF17" s="52">
        <f t="shared" si="4"/>
        <v>-12200</v>
      </c>
      <c r="AG17" s="46">
        <f t="shared" si="5"/>
        <v>-5000</v>
      </c>
      <c r="AH17" s="51">
        <f t="shared" si="6"/>
        <v>-17200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7">
        <f t="shared" si="0"/>
        <v>0</v>
      </c>
      <c r="R22" s="156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7">
        <f t="shared" si="0"/>
        <v>0</v>
      </c>
      <c r="R24" s="156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7">
        <f t="shared" si="0"/>
        <v>0</v>
      </c>
      <c r="R25" s="156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7">
        <f t="shared" si="0"/>
        <v>0</v>
      </c>
      <c r="R26" s="156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>
        <v>1830</v>
      </c>
      <c r="P27" s="156"/>
      <c r="Q27" s="7">
        <f t="shared" si="0"/>
        <v>1830</v>
      </c>
      <c r="R27" s="156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1520</v>
      </c>
      <c r="D28" s="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7">
        <f t="shared" si="0"/>
        <v>0</v>
      </c>
      <c r="R28" s="156"/>
      <c r="S28" s="6">
        <f t="shared" si="1"/>
        <v>1520</v>
      </c>
      <c r="T28" s="6">
        <f>-40-100</f>
        <v>-140</v>
      </c>
      <c r="U28" s="6">
        <f t="shared" si="2"/>
        <v>1380</v>
      </c>
      <c r="V28" s="52"/>
      <c r="W28" s="57"/>
      <c r="X28" s="46"/>
      <c r="Y28" s="61"/>
      <c r="Z28" s="66">
        <f t="shared" si="3"/>
        <v>-1520</v>
      </c>
      <c r="AA28" s="61"/>
      <c r="AB28" s="67"/>
      <c r="AC28" s="61"/>
      <c r="AD28" s="66"/>
      <c r="AE28" s="61"/>
      <c r="AF28" s="52">
        <f t="shared" si="4"/>
        <v>-1520</v>
      </c>
      <c r="AG28" s="46">
        <f t="shared" si="5"/>
        <v>-140</v>
      </c>
      <c r="AH28" s="51">
        <f t="shared" si="6"/>
        <v>-1660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980</v>
      </c>
      <c r="D29" s="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7">
        <f t="shared" si="0"/>
        <v>0</v>
      </c>
      <c r="R29" s="156"/>
      <c r="S29" s="6">
        <f t="shared" si="1"/>
        <v>980</v>
      </c>
      <c r="T29" s="6">
        <f>860+100</f>
        <v>960</v>
      </c>
      <c r="U29" s="6">
        <f t="shared" si="2"/>
        <v>1940</v>
      </c>
      <c r="V29" s="52"/>
      <c r="W29" s="57"/>
      <c r="X29" s="46"/>
      <c r="Y29" s="61"/>
      <c r="Z29" s="66">
        <f t="shared" si="3"/>
        <v>-980</v>
      </c>
      <c r="AA29" s="61"/>
      <c r="AB29" s="67"/>
      <c r="AC29" s="61"/>
      <c r="AD29" s="66"/>
      <c r="AE29" s="61"/>
      <c r="AF29" s="52">
        <f t="shared" si="4"/>
        <v>-980</v>
      </c>
      <c r="AG29" s="46">
        <f t="shared" si="5"/>
        <v>960</v>
      </c>
      <c r="AH29" s="51">
        <f t="shared" si="6"/>
        <v>-20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7">
        <f t="shared" si="0"/>
        <v>0</v>
      </c>
      <c r="R30" s="156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7">
        <f t="shared" si="0"/>
        <v>0</v>
      </c>
      <c r="R31" s="156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29500</v>
      </c>
      <c r="D32" s="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6"/>
      <c r="P32" s="6"/>
      <c r="Q32" s="7">
        <f>SUM(E32:P32)</f>
        <v>0</v>
      </c>
      <c r="R32" s="156"/>
      <c r="S32" s="6">
        <f t="shared" si="1"/>
        <v>29500</v>
      </c>
      <c r="T32" s="6">
        <v>-18280</v>
      </c>
      <c r="U32" s="6">
        <f t="shared" si="2"/>
        <v>11220</v>
      </c>
      <c r="V32" s="52"/>
      <c r="W32" s="57"/>
      <c r="X32" s="46"/>
      <c r="Y32" s="61"/>
      <c r="Z32" s="66">
        <f t="shared" si="3"/>
        <v>-29500</v>
      </c>
      <c r="AA32" s="61"/>
      <c r="AB32" s="67"/>
      <c r="AC32" s="61"/>
      <c r="AD32" s="66"/>
      <c r="AE32" s="61"/>
      <c r="AF32" s="52">
        <f t="shared" si="4"/>
        <v>-29500</v>
      </c>
      <c r="AG32" s="46">
        <f t="shared" si="5"/>
        <v>-18280</v>
      </c>
      <c r="AH32" s="51">
        <f t="shared" si="6"/>
        <v>-47780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7">
        <f t="shared" si="0"/>
        <v>0</v>
      </c>
      <c r="R33" s="156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2860</v>
      </c>
      <c r="D34" s="6"/>
      <c r="E34" s="156"/>
      <c r="F34" s="156"/>
      <c r="G34" s="156"/>
      <c r="H34" s="156"/>
      <c r="I34" s="156"/>
      <c r="J34" s="156"/>
      <c r="K34" s="6"/>
      <c r="L34" s="156"/>
      <c r="M34" s="156"/>
      <c r="N34" s="156"/>
      <c r="O34" s="156"/>
      <c r="P34" s="156"/>
      <c r="Q34" s="7">
        <f t="shared" si="0"/>
        <v>0</v>
      </c>
      <c r="R34" s="156"/>
      <c r="S34" s="6">
        <f t="shared" si="1"/>
        <v>2860</v>
      </c>
      <c r="T34" s="6">
        <v>2960</v>
      </c>
      <c r="U34" s="6">
        <f t="shared" si="2"/>
        <v>5820</v>
      </c>
      <c r="V34" s="52"/>
      <c r="W34" s="57"/>
      <c r="X34" s="46"/>
      <c r="Y34" s="61"/>
      <c r="Z34" s="66">
        <f t="shared" si="3"/>
        <v>-2860</v>
      </c>
      <c r="AA34" s="61"/>
      <c r="AB34" s="67"/>
      <c r="AC34" s="61"/>
      <c r="AD34" s="66"/>
      <c r="AE34" s="61"/>
      <c r="AF34" s="52">
        <f t="shared" si="4"/>
        <v>-2860</v>
      </c>
      <c r="AG34" s="46">
        <f t="shared" si="5"/>
        <v>2960</v>
      </c>
      <c r="AH34" s="51">
        <f t="shared" si="6"/>
        <v>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56"/>
      <c r="F35" s="156"/>
      <c r="G35" s="156"/>
      <c r="H35" s="156"/>
      <c r="I35" s="156"/>
      <c r="J35" s="156"/>
      <c r="K35" s="6">
        <v>21120</v>
      </c>
      <c r="L35" s="156"/>
      <c r="M35" s="156"/>
      <c r="N35" s="156"/>
      <c r="O35" s="156"/>
      <c r="P35" s="156"/>
      <c r="Q35" s="7">
        <f t="shared" si="0"/>
        <v>21120</v>
      </c>
      <c r="R35" s="156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7">
        <f t="shared" si="0"/>
        <v>0</v>
      </c>
      <c r="R36" s="156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7">
        <f t="shared" si="0"/>
        <v>0</v>
      </c>
      <c r="R37" s="156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1340</v>
      </c>
      <c r="D38" s="6">
        <f>6300+1140</f>
        <v>7440</v>
      </c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7">
        <f>SUM(E38:P38)</f>
        <v>0</v>
      </c>
      <c r="R38" s="156"/>
      <c r="S38" s="6">
        <f t="shared" si="1"/>
        <v>8780</v>
      </c>
      <c r="T38" s="6">
        <v>-1340</v>
      </c>
      <c r="U38" s="6">
        <f t="shared" si="2"/>
        <v>7440</v>
      </c>
      <c r="V38" s="52"/>
      <c r="W38" s="57"/>
      <c r="X38" s="46"/>
      <c r="Y38" s="61"/>
      <c r="Z38" s="66">
        <f t="shared" si="3"/>
        <v>-8780</v>
      </c>
      <c r="AA38" s="61"/>
      <c r="AB38" s="64"/>
      <c r="AC38" s="61"/>
      <c r="AD38" s="66"/>
      <c r="AE38" s="61"/>
      <c r="AF38" s="52">
        <f t="shared" si="4"/>
        <v>-8780</v>
      </c>
      <c r="AG38" s="46">
        <f t="shared" si="5"/>
        <v>-1340</v>
      </c>
      <c r="AH38" s="51">
        <f t="shared" si="6"/>
        <v>-10120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7">
        <f>SUM(E39:P39)</f>
        <v>0</v>
      </c>
      <c r="R39" s="156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>
        <v>3360</v>
      </c>
      <c r="E40" s="156"/>
      <c r="F40" s="156"/>
      <c r="G40" s="156"/>
      <c r="H40" s="27"/>
      <c r="I40" s="156"/>
      <c r="J40" s="156"/>
      <c r="K40" s="156"/>
      <c r="L40" s="156"/>
      <c r="M40" s="156"/>
      <c r="N40" s="156"/>
      <c r="O40" s="156"/>
      <c r="P40" s="156"/>
      <c r="Q40" s="7">
        <f>SUM(E40:P40)</f>
        <v>0</v>
      </c>
      <c r="R40" s="156">
        <v>1880</v>
      </c>
      <c r="S40" s="6">
        <f t="shared" si="1"/>
        <v>11700</v>
      </c>
      <c r="T40" s="6">
        <f>-10260+40</f>
        <v>-10220</v>
      </c>
      <c r="U40" s="6">
        <f t="shared" si="2"/>
        <v>1480</v>
      </c>
      <c r="V40" s="52"/>
      <c r="W40" s="57"/>
      <c r="X40" s="46"/>
      <c r="Y40" s="61"/>
      <c r="Z40" s="66">
        <f t="shared" si="3"/>
        <v>-11700</v>
      </c>
      <c r="AA40" s="61"/>
      <c r="AB40" s="67"/>
      <c r="AC40" s="61"/>
      <c r="AD40" s="66"/>
      <c r="AE40" s="61"/>
      <c r="AF40" s="52">
        <f t="shared" si="4"/>
        <v>-11700</v>
      </c>
      <c r="AG40" s="46">
        <f t="shared" si="5"/>
        <v>-10220</v>
      </c>
      <c r="AH40" s="51">
        <f t="shared" si="6"/>
        <v>-21920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7">
        <f>SUM(E41:P41)</f>
        <v>0</v>
      </c>
      <c r="R41" s="156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7">
        <f>SUM(E42:P42)</f>
        <v>0</v>
      </c>
      <c r="R42" s="156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7">
        <f t="shared" si="0"/>
        <v>0</v>
      </c>
      <c r="R44" s="156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7">
        <f t="shared" si="0"/>
        <v>0</v>
      </c>
      <c r="R45" s="156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7">
        <f t="shared" si="0"/>
        <v>0</v>
      </c>
      <c r="R46" s="156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7">
        <f t="shared" si="0"/>
        <v>0</v>
      </c>
      <c r="R47" s="156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7">
        <f t="shared" si="0"/>
        <v>0</v>
      </c>
      <c r="R48" s="156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7">
        <f t="shared" si="0"/>
        <v>0</v>
      </c>
      <c r="R49" s="156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5050</v>
      </c>
      <c r="D50" s="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7">
        <f t="shared" si="0"/>
        <v>0</v>
      </c>
      <c r="R50" s="156"/>
      <c r="S50" s="6">
        <f t="shared" si="1"/>
        <v>5050</v>
      </c>
      <c r="T50" s="6">
        <f>-12000+8615</f>
        <v>-3385</v>
      </c>
      <c r="U50" s="6">
        <f t="shared" si="2"/>
        <v>1665</v>
      </c>
      <c r="V50" s="52"/>
      <c r="W50" s="57"/>
      <c r="X50" s="46"/>
      <c r="Y50" s="61"/>
      <c r="Z50" s="66">
        <f t="shared" si="3"/>
        <v>-5050</v>
      </c>
      <c r="AA50" s="61"/>
      <c r="AB50" s="64"/>
      <c r="AC50" s="61"/>
      <c r="AD50" s="66"/>
      <c r="AE50" s="61"/>
      <c r="AF50" s="52">
        <f t="shared" si="4"/>
        <v>-5050</v>
      </c>
      <c r="AG50" s="46">
        <f t="shared" si="5"/>
        <v>-3385</v>
      </c>
      <c r="AH50" s="51">
        <f t="shared" si="6"/>
        <v>-8435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7">
        <f t="shared" si="0"/>
        <v>0</v>
      </c>
      <c r="R51" s="156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7">
        <f t="shared" si="0"/>
        <v>0</v>
      </c>
      <c r="R52" s="156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14025</v>
      </c>
      <c r="D53" s="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7">
        <f t="shared" si="0"/>
        <v>0</v>
      </c>
      <c r="R53" s="156"/>
      <c r="S53" s="6">
        <f t="shared" si="1"/>
        <v>14025</v>
      </c>
      <c r="T53" s="6">
        <v>-11550</v>
      </c>
      <c r="U53" s="6">
        <f t="shared" si="2"/>
        <v>2475</v>
      </c>
      <c r="V53" s="52"/>
      <c r="W53" s="57"/>
      <c r="X53" s="46"/>
      <c r="Y53" s="61"/>
      <c r="Z53" s="66">
        <f t="shared" si="3"/>
        <v>-14025</v>
      </c>
      <c r="AA53" s="61"/>
      <c r="AB53" s="67"/>
      <c r="AC53" s="61"/>
      <c r="AD53" s="66"/>
      <c r="AE53" s="61"/>
      <c r="AF53" s="52">
        <f t="shared" si="4"/>
        <v>-14025</v>
      </c>
      <c r="AG53" s="46">
        <f t="shared" si="5"/>
        <v>-11550</v>
      </c>
      <c r="AH53" s="51">
        <f t="shared" si="6"/>
        <v>-25575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7">
        <f t="shared" si="0"/>
        <v>0</v>
      </c>
      <c r="R54" s="156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7">
        <f t="shared" si="0"/>
        <v>0</v>
      </c>
      <c r="R55" s="156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7">
        <f>SUM(E56:P56)</f>
        <v>0</v>
      </c>
      <c r="R56" s="156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7">
        <f t="shared" si="0"/>
        <v>0</v>
      </c>
      <c r="R61" s="156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7">
        <f t="shared" si="0"/>
        <v>0</v>
      </c>
      <c r="R62" s="155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7">
        <f t="shared" si="0"/>
        <v>0</v>
      </c>
      <c r="R63" s="155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7">
        <f t="shared" si="0"/>
        <v>0</v>
      </c>
      <c r="R64" s="155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7">
        <f t="shared" si="0"/>
        <v>0</v>
      </c>
      <c r="R65" s="155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57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7">
        <f t="shared" si="0"/>
        <v>0</v>
      </c>
      <c r="R67" s="156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7">
        <f t="shared" si="0"/>
        <v>0</v>
      </c>
      <c r="R68" s="156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24500</v>
      </c>
      <c r="D69" s="156">
        <v>8900</v>
      </c>
      <c r="E69" s="156"/>
      <c r="F69" s="156"/>
      <c r="G69" s="156">
        <f>5000+9000</f>
        <v>14000</v>
      </c>
      <c r="H69" s="156"/>
      <c r="I69" s="156"/>
      <c r="J69" s="156"/>
      <c r="K69" s="156"/>
      <c r="L69" s="156"/>
      <c r="M69" s="156"/>
      <c r="N69" s="156"/>
      <c r="O69" s="156"/>
      <c r="P69" s="156"/>
      <c r="Q69" s="7">
        <f t="shared" si="0"/>
        <v>14000</v>
      </c>
      <c r="R69" s="156"/>
      <c r="S69" s="6">
        <f t="shared" si="1"/>
        <v>33400</v>
      </c>
      <c r="T69" s="6">
        <v>-16950</v>
      </c>
      <c r="U69" s="6">
        <f t="shared" si="2"/>
        <v>16450</v>
      </c>
      <c r="V69" s="52"/>
      <c r="W69" s="57"/>
      <c r="X69" s="46"/>
      <c r="Y69" s="61"/>
      <c r="Z69" s="66">
        <f t="shared" si="3"/>
        <v>-33400</v>
      </c>
      <c r="AA69" s="61"/>
      <c r="AB69" s="64"/>
      <c r="AC69" s="61"/>
      <c r="AD69" s="66"/>
      <c r="AE69" s="61"/>
      <c r="AF69" s="52">
        <f t="shared" si="4"/>
        <v>-33400</v>
      </c>
      <c r="AG69" s="46">
        <f t="shared" si="5"/>
        <v>-16950</v>
      </c>
      <c r="AH69" s="51">
        <f t="shared" si="6"/>
        <v>-50350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10700</v>
      </c>
      <c r="D70" s="156">
        <v>10000</v>
      </c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7">
        <f t="shared" si="0"/>
        <v>0</v>
      </c>
      <c r="R70" s="156"/>
      <c r="S70" s="6">
        <f t="shared" si="1"/>
        <v>20700</v>
      </c>
      <c r="T70" s="6">
        <v>-9425</v>
      </c>
      <c r="U70" s="6">
        <f t="shared" si="2"/>
        <v>11275</v>
      </c>
      <c r="V70" s="52"/>
      <c r="W70" s="57"/>
      <c r="X70" s="46"/>
      <c r="Y70" s="61"/>
      <c r="Z70" s="66">
        <f t="shared" si="3"/>
        <v>-20700</v>
      </c>
      <c r="AA70" s="61"/>
      <c r="AB70" s="67"/>
      <c r="AC70" s="61"/>
      <c r="AD70" s="66"/>
      <c r="AE70" s="61"/>
      <c r="AF70" s="52">
        <f t="shared" si="4"/>
        <v>-20700</v>
      </c>
      <c r="AG70" s="46">
        <f t="shared" si="5"/>
        <v>-9425</v>
      </c>
      <c r="AH70" s="51">
        <f t="shared" si="6"/>
        <v>-30125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44500</v>
      </c>
      <c r="D71" s="156">
        <v>15000</v>
      </c>
      <c r="E71" s="156"/>
      <c r="F71" s="156"/>
      <c r="G71" s="156">
        <f>10000+10875</f>
        <v>20875</v>
      </c>
      <c r="H71" s="156"/>
      <c r="I71" s="156"/>
      <c r="J71" s="156"/>
      <c r="K71" s="156"/>
      <c r="L71" s="156"/>
      <c r="M71" s="156"/>
      <c r="N71" s="156"/>
      <c r="O71" s="156"/>
      <c r="P71" s="156"/>
      <c r="Q71" s="7">
        <f t="shared" si="0"/>
        <v>20875</v>
      </c>
      <c r="R71" s="156">
        <v>2000</v>
      </c>
      <c r="S71" s="6">
        <f t="shared" si="1"/>
        <v>57500</v>
      </c>
      <c r="T71" s="6">
        <v>-27500</v>
      </c>
      <c r="U71" s="6">
        <f t="shared" si="2"/>
        <v>30000</v>
      </c>
      <c r="V71" s="52"/>
      <c r="W71" s="57"/>
      <c r="X71" s="46"/>
      <c r="Y71" s="61"/>
      <c r="Z71" s="66">
        <f t="shared" si="3"/>
        <v>-57500</v>
      </c>
      <c r="AA71" s="61"/>
      <c r="AB71" s="64"/>
      <c r="AC71" s="61"/>
      <c r="AD71" s="66"/>
      <c r="AE71" s="61"/>
      <c r="AF71" s="52">
        <f t="shared" si="4"/>
        <v>-57500</v>
      </c>
      <c r="AG71" s="46">
        <f t="shared" si="5"/>
        <v>-27500</v>
      </c>
      <c r="AH71" s="51">
        <f t="shared" si="6"/>
        <v>-85000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56">
        <f>SUM(C7:C72)</f>
        <v>426460</v>
      </c>
      <c r="D73" s="156">
        <f t="shared" ref="D73:V73" si="11">SUM(D7:D72)</f>
        <v>51700</v>
      </c>
      <c r="E73" s="156">
        <f t="shared" si="11"/>
        <v>0</v>
      </c>
      <c r="F73" s="156">
        <f t="shared" si="11"/>
        <v>0</v>
      </c>
      <c r="G73" s="156">
        <f t="shared" si="11"/>
        <v>34875</v>
      </c>
      <c r="H73" s="27">
        <f t="shared" si="11"/>
        <v>0</v>
      </c>
      <c r="I73" s="156">
        <f t="shared" si="11"/>
        <v>0</v>
      </c>
      <c r="J73" s="156">
        <f t="shared" si="11"/>
        <v>0</v>
      </c>
      <c r="K73" s="156">
        <f t="shared" si="11"/>
        <v>21120</v>
      </c>
      <c r="L73" s="156">
        <f t="shared" si="11"/>
        <v>0</v>
      </c>
      <c r="M73" s="156">
        <f t="shared" si="11"/>
        <v>0</v>
      </c>
      <c r="N73" s="156">
        <f t="shared" si="11"/>
        <v>0</v>
      </c>
      <c r="O73" s="156">
        <f t="shared" si="11"/>
        <v>1830</v>
      </c>
      <c r="P73" s="156">
        <f t="shared" si="11"/>
        <v>0</v>
      </c>
      <c r="Q73" s="156">
        <f t="shared" si="11"/>
        <v>57825</v>
      </c>
      <c r="R73" s="156">
        <f t="shared" si="11"/>
        <v>22280</v>
      </c>
      <c r="S73" s="156">
        <f t="shared" si="11"/>
        <v>455880</v>
      </c>
      <c r="T73" s="156">
        <f t="shared" si="11"/>
        <v>-286670</v>
      </c>
      <c r="U73" s="156">
        <f t="shared" si="11"/>
        <v>169210</v>
      </c>
      <c r="V73" s="156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-455880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-455880</v>
      </c>
      <c r="AG73" s="43">
        <f t="shared" si="12"/>
        <v>-286670</v>
      </c>
      <c r="AH73" s="43">
        <f t="shared" si="12"/>
        <v>-742550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57825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</f>
        <v>608095</v>
      </c>
      <c r="S74" s="211"/>
      <c r="T74" s="212">
        <f>R74+R75</f>
        <v>1493230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51700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</f>
        <v>885135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22280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</f>
        <v>948260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</f>
        <v>179600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</f>
        <v>9000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201100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41205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68320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747160</v>
      </c>
      <c r="S80" s="197"/>
      <c r="T80" s="22"/>
      <c r="U80" s="22"/>
      <c r="V80" s="2"/>
      <c r="X80" s="63">
        <f>SUM(X77:X79)</f>
        <v>109525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58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15000</v>
      </c>
      <c r="R118" s="63">
        <f t="shared" si="14"/>
        <v>191600</v>
      </c>
      <c r="S118" s="63"/>
      <c r="T118" s="63">
        <f>SUM(T87:T117)</f>
        <v>970540</v>
      </c>
      <c r="U118" s="63"/>
      <c r="V118" s="63">
        <f>SUM(V87:V117)</f>
        <v>665920</v>
      </c>
      <c r="W118" s="63">
        <f>SUM(W87:W117)</f>
        <v>936835</v>
      </c>
      <c r="X118" s="36">
        <f>SUM(V118:W118)</f>
        <v>1602755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0" activePane="bottomRight" state="frozen"/>
      <selection activeCell="O32" sqref="O32"/>
      <selection pane="topRight" activeCell="O32" sqref="O32"/>
      <selection pane="bottomLeft" activeCell="O32" sqref="O32"/>
      <selection pane="bottomRight" activeCell="I73" sqref="I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182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179</v>
      </c>
      <c r="P6" s="30" t="s">
        <v>175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11300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500+100</f>
        <v>600</v>
      </c>
      <c r="S7" s="6">
        <f>C7+D7-R7</f>
        <v>10700</v>
      </c>
      <c r="T7" s="34">
        <v>-9150</v>
      </c>
      <c r="U7" s="6">
        <f>S7+T7</f>
        <v>1550</v>
      </c>
      <c r="V7" s="52"/>
      <c r="W7" s="57"/>
      <c r="X7" s="46"/>
      <c r="Y7" s="65"/>
      <c r="Z7" s="66">
        <f>W7-S7</f>
        <v>-10700</v>
      </c>
      <c r="AA7" s="65"/>
      <c r="AB7" s="67"/>
      <c r="AC7" s="65"/>
      <c r="AD7" s="47"/>
      <c r="AE7" s="61"/>
      <c r="AF7" s="52">
        <f>SUM(Y7:AE7)</f>
        <v>-10700</v>
      </c>
      <c r="AG7" s="46">
        <f>U7+AF7</f>
        <v>-9150</v>
      </c>
      <c r="AH7" s="51">
        <f>AG7-S7</f>
        <v>-19850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31300</v>
      </c>
      <c r="D8" s="6">
        <v>15000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5000</f>
        <v>5000</v>
      </c>
      <c r="S8" s="6">
        <f t="shared" ref="S8:S71" si="1">C8+D8-R8</f>
        <v>41300</v>
      </c>
      <c r="T8" s="6">
        <v>-24350</v>
      </c>
      <c r="U8" s="6">
        <f t="shared" ref="U8:U71" si="2">S8+T8</f>
        <v>16950</v>
      </c>
      <c r="V8" s="52"/>
      <c r="W8" s="57"/>
      <c r="X8" s="46"/>
      <c r="Y8" s="61"/>
      <c r="Z8" s="66">
        <f t="shared" ref="Z8:Z71" si="3">W8-S8</f>
        <v>-41300</v>
      </c>
      <c r="AA8" s="61"/>
      <c r="AB8" s="67"/>
      <c r="AC8" s="61"/>
      <c r="AD8" s="66"/>
      <c r="AE8" s="61"/>
      <c r="AF8" s="52">
        <f t="shared" ref="AF8:AF71" si="4">SUM(Y8:AE8)</f>
        <v>-41300</v>
      </c>
      <c r="AG8" s="46">
        <f t="shared" ref="AG8:AG71" si="5">U8+AF8</f>
        <v>-24350</v>
      </c>
      <c r="AH8" s="51">
        <f t="shared" ref="AH8:AH71" si="6">AG8-S8</f>
        <v>-65650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8700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1000</v>
      </c>
      <c r="S11" s="6">
        <f t="shared" si="1"/>
        <v>7700</v>
      </c>
      <c r="T11" s="6">
        <v>-3750</v>
      </c>
      <c r="U11" s="6">
        <f t="shared" si="2"/>
        <v>3950</v>
      </c>
      <c r="V11" s="52"/>
      <c r="W11" s="57"/>
      <c r="X11" s="46"/>
      <c r="Y11" s="61"/>
      <c r="Z11" s="66">
        <f t="shared" si="3"/>
        <v>-7700</v>
      </c>
      <c r="AA11" s="61"/>
      <c r="AB11" s="67"/>
      <c r="AC11" s="61"/>
      <c r="AD11" s="66"/>
      <c r="AE11" s="61"/>
      <c r="AF11" s="52">
        <f t="shared" si="4"/>
        <v>-7700</v>
      </c>
      <c r="AG11" s="46">
        <f t="shared" si="5"/>
        <v>-3750</v>
      </c>
      <c r="AH11" s="51">
        <f t="shared" si="6"/>
        <v>-11450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1500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1000+500</f>
        <v>1500</v>
      </c>
      <c r="S12" s="6">
        <f t="shared" si="1"/>
        <v>0</v>
      </c>
      <c r="T12" s="6">
        <v>4700</v>
      </c>
      <c r="U12" s="6">
        <f t="shared" si="2"/>
        <v>4700</v>
      </c>
      <c r="V12" s="52"/>
      <c r="W12" s="57"/>
      <c r="X12" s="46"/>
      <c r="Y12" s="61"/>
      <c r="Z12" s="66">
        <f t="shared" si="3"/>
        <v>0</v>
      </c>
      <c r="AA12" s="61"/>
      <c r="AB12" s="67"/>
      <c r="AC12" s="61"/>
      <c r="AD12" s="66"/>
      <c r="AE12" s="61"/>
      <c r="AF12" s="52">
        <f t="shared" si="4"/>
        <v>0</v>
      </c>
      <c r="AG12" s="46">
        <f t="shared" si="5"/>
        <v>4700</v>
      </c>
      <c r="AH12" s="51">
        <f t="shared" si="6"/>
        <v>4700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26810</v>
      </c>
      <c r="D14" s="6">
        <v>14500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2000+1750+6000+1450+500</f>
        <v>11700</v>
      </c>
      <c r="S14" s="6">
        <f t="shared" si="1"/>
        <v>29610</v>
      </c>
      <c r="T14" s="6">
        <v>-5760</v>
      </c>
      <c r="U14" s="6">
        <f t="shared" si="2"/>
        <v>23850</v>
      </c>
      <c r="V14" s="52"/>
      <c r="W14" s="57"/>
      <c r="X14" s="46"/>
      <c r="Y14" s="61"/>
      <c r="Z14" s="66">
        <f t="shared" si="3"/>
        <v>-29610</v>
      </c>
      <c r="AA14" s="61"/>
      <c r="AB14" s="66"/>
      <c r="AC14" s="61"/>
      <c r="AD14" s="66"/>
      <c r="AE14" s="61"/>
      <c r="AF14" s="52">
        <f t="shared" si="4"/>
        <v>-29610</v>
      </c>
      <c r="AG14" s="46">
        <f t="shared" si="5"/>
        <v>-5760</v>
      </c>
      <c r="AH14" s="51">
        <f t="shared" si="6"/>
        <v>-35370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13300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500</v>
      </c>
      <c r="S16" s="6">
        <f t="shared" si="1"/>
        <v>12800</v>
      </c>
      <c r="T16" s="34">
        <v>-10050</v>
      </c>
      <c r="U16" s="6">
        <f t="shared" si="2"/>
        <v>2750</v>
      </c>
      <c r="V16" s="52"/>
      <c r="W16" s="57"/>
      <c r="X16" s="46"/>
      <c r="Y16" s="61"/>
      <c r="Z16" s="66">
        <f t="shared" si="3"/>
        <v>-12800</v>
      </c>
      <c r="AA16" s="61"/>
      <c r="AB16" s="67"/>
      <c r="AC16" s="61"/>
      <c r="AD16" s="47"/>
      <c r="AE16" s="61"/>
      <c r="AF16" s="52">
        <f t="shared" si="4"/>
        <v>-12800</v>
      </c>
      <c r="AG16" s="46">
        <f t="shared" si="5"/>
        <v>-10050</v>
      </c>
      <c r="AH16" s="51">
        <f t="shared" si="6"/>
        <v>-22850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12200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12200</v>
      </c>
      <c r="T17" s="6">
        <v>-5000</v>
      </c>
      <c r="U17" s="6">
        <f t="shared" si="2"/>
        <v>7200</v>
      </c>
      <c r="V17" s="52"/>
      <c r="W17" s="57"/>
      <c r="X17" s="46"/>
      <c r="Y17" s="61"/>
      <c r="Z17" s="66">
        <f t="shared" si="3"/>
        <v>-12200</v>
      </c>
      <c r="AA17" s="61"/>
      <c r="AB17" s="66"/>
      <c r="AC17" s="61"/>
      <c r="AD17" s="66"/>
      <c r="AE17" s="61"/>
      <c r="AF17" s="52">
        <f t="shared" si="4"/>
        <v>-12200</v>
      </c>
      <c r="AG17" s="46">
        <f t="shared" si="5"/>
        <v>-5000</v>
      </c>
      <c r="AH17" s="51">
        <f t="shared" si="6"/>
        <v>-17200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>
        <f>1070+75</f>
        <v>1145</v>
      </c>
      <c r="L19" s="13"/>
      <c r="M19" s="13"/>
      <c r="N19" s="13"/>
      <c r="O19" s="13"/>
      <c r="P19" s="13"/>
      <c r="Q19" s="7">
        <f t="shared" si="0"/>
        <v>1145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7">
        <f t="shared" si="0"/>
        <v>0</v>
      </c>
      <c r="R22" s="160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7">
        <f t="shared" si="0"/>
        <v>0</v>
      </c>
      <c r="R24" s="160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7">
        <f t="shared" si="0"/>
        <v>0</v>
      </c>
      <c r="R25" s="160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7">
        <f t="shared" si="0"/>
        <v>0</v>
      </c>
      <c r="R26" s="160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7">
        <f t="shared" si="0"/>
        <v>0</v>
      </c>
      <c r="R27" s="160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f>1520</f>
        <v>1520</v>
      </c>
      <c r="D28" s="6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7">
        <f t="shared" si="0"/>
        <v>0</v>
      </c>
      <c r="R28" s="160"/>
      <c r="S28" s="6">
        <f t="shared" si="1"/>
        <v>1520</v>
      </c>
      <c r="T28" s="6">
        <f>-40-100</f>
        <v>-140</v>
      </c>
      <c r="U28" s="6">
        <f t="shared" si="2"/>
        <v>1380</v>
      </c>
      <c r="V28" s="52"/>
      <c r="W28" s="57"/>
      <c r="X28" s="46"/>
      <c r="Y28" s="61"/>
      <c r="Z28" s="66">
        <f t="shared" si="3"/>
        <v>-1520</v>
      </c>
      <c r="AA28" s="61"/>
      <c r="AB28" s="67"/>
      <c r="AC28" s="61"/>
      <c r="AD28" s="66"/>
      <c r="AE28" s="61"/>
      <c r="AF28" s="52">
        <f t="shared" si="4"/>
        <v>-1520</v>
      </c>
      <c r="AG28" s="46">
        <f t="shared" si="5"/>
        <v>-140</v>
      </c>
      <c r="AH28" s="51">
        <f t="shared" si="6"/>
        <v>-1660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980</v>
      </c>
      <c r="D29" s="6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7">
        <f t="shared" si="0"/>
        <v>0</v>
      </c>
      <c r="R29" s="160">
        <f>1700+100</f>
        <v>1800</v>
      </c>
      <c r="S29" s="6">
        <f t="shared" si="1"/>
        <v>-820</v>
      </c>
      <c r="T29" s="6">
        <f>860+100</f>
        <v>960</v>
      </c>
      <c r="U29" s="6">
        <f t="shared" si="2"/>
        <v>140</v>
      </c>
      <c r="V29" s="52"/>
      <c r="W29" s="57"/>
      <c r="X29" s="46"/>
      <c r="Y29" s="61"/>
      <c r="Z29" s="66">
        <f t="shared" si="3"/>
        <v>820</v>
      </c>
      <c r="AA29" s="61"/>
      <c r="AB29" s="67"/>
      <c r="AC29" s="61"/>
      <c r="AD29" s="66"/>
      <c r="AE29" s="61"/>
      <c r="AF29" s="52">
        <f t="shared" si="4"/>
        <v>820</v>
      </c>
      <c r="AG29" s="46">
        <f t="shared" si="5"/>
        <v>960</v>
      </c>
      <c r="AH29" s="51">
        <f t="shared" si="6"/>
        <v>1780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7">
        <f t="shared" si="0"/>
        <v>0</v>
      </c>
      <c r="R30" s="160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7">
        <f t="shared" si="0"/>
        <v>0</v>
      </c>
      <c r="R31" s="160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f>29500-4700</f>
        <v>24800</v>
      </c>
      <c r="D32" s="6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6"/>
      <c r="P32" s="6"/>
      <c r="Q32" s="7">
        <f>SUM(E32:P32)</f>
        <v>0</v>
      </c>
      <c r="R32" s="160">
        <f>1160+1980</f>
        <v>3140</v>
      </c>
      <c r="S32" s="6">
        <f t="shared" si="1"/>
        <v>21660</v>
      </c>
      <c r="T32" s="6">
        <v>-18280</v>
      </c>
      <c r="U32" s="6">
        <f t="shared" si="2"/>
        <v>3380</v>
      </c>
      <c r="V32" s="52"/>
      <c r="W32" s="57"/>
      <c r="X32" s="46"/>
      <c r="Y32" s="61"/>
      <c r="Z32" s="66">
        <f t="shared" si="3"/>
        <v>-21660</v>
      </c>
      <c r="AA32" s="61"/>
      <c r="AB32" s="67"/>
      <c r="AC32" s="61"/>
      <c r="AD32" s="66"/>
      <c r="AE32" s="61"/>
      <c r="AF32" s="52">
        <f t="shared" si="4"/>
        <v>-21660</v>
      </c>
      <c r="AG32" s="46">
        <f t="shared" si="5"/>
        <v>-18280</v>
      </c>
      <c r="AH32" s="51">
        <f t="shared" si="6"/>
        <v>-39940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7">
        <f t="shared" si="0"/>
        <v>0</v>
      </c>
      <c r="R33" s="160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2860</v>
      </c>
      <c r="D34" s="6"/>
      <c r="E34" s="160"/>
      <c r="F34" s="160"/>
      <c r="G34" s="160"/>
      <c r="H34" s="160"/>
      <c r="I34" s="160"/>
      <c r="J34" s="160"/>
      <c r="K34" s="6"/>
      <c r="L34" s="160"/>
      <c r="M34" s="160"/>
      <c r="N34" s="160"/>
      <c r="O34" s="160"/>
      <c r="P34" s="160"/>
      <c r="Q34" s="7">
        <f t="shared" si="0"/>
        <v>0</v>
      </c>
      <c r="R34" s="160">
        <v>1000</v>
      </c>
      <c r="S34" s="6">
        <f t="shared" si="1"/>
        <v>1860</v>
      </c>
      <c r="T34" s="6">
        <v>2960</v>
      </c>
      <c r="U34" s="6">
        <f t="shared" si="2"/>
        <v>4820</v>
      </c>
      <c r="V34" s="52"/>
      <c r="W34" s="57"/>
      <c r="X34" s="46"/>
      <c r="Y34" s="61"/>
      <c r="Z34" s="66">
        <f t="shared" si="3"/>
        <v>-1860</v>
      </c>
      <c r="AA34" s="61"/>
      <c r="AB34" s="67"/>
      <c r="AC34" s="61"/>
      <c r="AD34" s="66"/>
      <c r="AE34" s="61"/>
      <c r="AF34" s="52">
        <f t="shared" si="4"/>
        <v>-1860</v>
      </c>
      <c r="AG34" s="46">
        <f t="shared" si="5"/>
        <v>2960</v>
      </c>
      <c r="AH34" s="51">
        <f t="shared" si="6"/>
        <v>1100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60"/>
      <c r="F35" s="160"/>
      <c r="G35" s="160"/>
      <c r="H35" s="160"/>
      <c r="I35" s="160"/>
      <c r="J35" s="160"/>
      <c r="K35" s="6">
        <v>2880</v>
      </c>
      <c r="L35" s="160"/>
      <c r="M35" s="160"/>
      <c r="N35" s="160"/>
      <c r="O35" s="160"/>
      <c r="P35" s="160"/>
      <c r="Q35" s="7">
        <f t="shared" si="0"/>
        <v>2880</v>
      </c>
      <c r="R35" s="160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7">
        <f t="shared" si="0"/>
        <v>0</v>
      </c>
      <c r="R36" s="160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7">
        <f t="shared" si="0"/>
        <v>0</v>
      </c>
      <c r="R37" s="160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8780</v>
      </c>
      <c r="D38" s="6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7">
        <f>SUM(E38:P38)</f>
        <v>0</v>
      </c>
      <c r="R38" s="160">
        <f>6600</f>
        <v>6600</v>
      </c>
      <c r="S38" s="6">
        <f t="shared" si="1"/>
        <v>2180</v>
      </c>
      <c r="T38" s="6">
        <v>-1340</v>
      </c>
      <c r="U38" s="6">
        <f t="shared" si="2"/>
        <v>840</v>
      </c>
      <c r="V38" s="52"/>
      <c r="W38" s="57"/>
      <c r="X38" s="46"/>
      <c r="Y38" s="61"/>
      <c r="Z38" s="66">
        <f t="shared" si="3"/>
        <v>-2180</v>
      </c>
      <c r="AA38" s="61"/>
      <c r="AB38" s="64"/>
      <c r="AC38" s="61"/>
      <c r="AD38" s="66"/>
      <c r="AE38" s="61"/>
      <c r="AF38" s="52">
        <f t="shared" si="4"/>
        <v>-2180</v>
      </c>
      <c r="AG38" s="46">
        <f t="shared" si="5"/>
        <v>-1340</v>
      </c>
      <c r="AH38" s="51">
        <f t="shared" si="6"/>
        <v>-3520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7">
        <f>SUM(E39:P39)</f>
        <v>0</v>
      </c>
      <c r="R39" s="160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11700</v>
      </c>
      <c r="D40" s="6"/>
      <c r="E40" s="160"/>
      <c r="F40" s="160"/>
      <c r="G40" s="160"/>
      <c r="H40" s="27"/>
      <c r="I40" s="160"/>
      <c r="J40" s="160"/>
      <c r="K40" s="160"/>
      <c r="L40" s="160"/>
      <c r="M40" s="160"/>
      <c r="N40" s="160"/>
      <c r="O40" s="160"/>
      <c r="P40" s="160"/>
      <c r="Q40" s="7">
        <f>SUM(E40:P40)</f>
        <v>0</v>
      </c>
      <c r="R40" s="160"/>
      <c r="S40" s="6">
        <f t="shared" si="1"/>
        <v>11700</v>
      </c>
      <c r="T40" s="6">
        <f>-10260+40</f>
        <v>-10220</v>
      </c>
      <c r="U40" s="6">
        <f t="shared" si="2"/>
        <v>1480</v>
      </c>
      <c r="V40" s="52"/>
      <c r="W40" s="57"/>
      <c r="X40" s="46"/>
      <c r="Y40" s="61"/>
      <c r="Z40" s="66">
        <f t="shared" si="3"/>
        <v>-11700</v>
      </c>
      <c r="AA40" s="61"/>
      <c r="AB40" s="67"/>
      <c r="AC40" s="61"/>
      <c r="AD40" s="66"/>
      <c r="AE40" s="61"/>
      <c r="AF40" s="52">
        <f t="shared" si="4"/>
        <v>-11700</v>
      </c>
      <c r="AG40" s="46">
        <f t="shared" si="5"/>
        <v>-10220</v>
      </c>
      <c r="AH40" s="51">
        <f t="shared" si="6"/>
        <v>-21920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f>340+4700</f>
        <v>5040</v>
      </c>
      <c r="D41" s="6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7">
        <f>SUM(E41:P41)</f>
        <v>0</v>
      </c>
      <c r="R41" s="160"/>
      <c r="S41" s="6">
        <f t="shared" si="1"/>
        <v>5040</v>
      </c>
      <c r="T41" s="6">
        <v>-340</v>
      </c>
      <c r="U41" s="6">
        <f t="shared" si="2"/>
        <v>4700</v>
      </c>
      <c r="V41" s="52"/>
      <c r="W41" s="57"/>
      <c r="X41" s="46"/>
      <c r="Y41" s="61"/>
      <c r="Z41" s="66">
        <f t="shared" si="3"/>
        <v>-5040</v>
      </c>
      <c r="AA41" s="61"/>
      <c r="AB41" s="67"/>
      <c r="AC41" s="61"/>
      <c r="AD41" s="66"/>
      <c r="AE41" s="61"/>
      <c r="AF41" s="52">
        <f t="shared" si="4"/>
        <v>-5040</v>
      </c>
      <c r="AG41" s="46">
        <f t="shared" si="5"/>
        <v>-340</v>
      </c>
      <c r="AH41" s="51">
        <f t="shared" si="6"/>
        <v>-5380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7">
        <f>SUM(E42:P42)</f>
        <v>0</v>
      </c>
      <c r="R42" s="160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7">
        <f t="shared" si="0"/>
        <v>0</v>
      </c>
      <c r="R44" s="160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7">
        <f t="shared" si="0"/>
        <v>0</v>
      </c>
      <c r="R45" s="160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7">
        <f t="shared" si="0"/>
        <v>0</v>
      </c>
      <c r="R46" s="160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7">
        <f t="shared" si="0"/>
        <v>0</v>
      </c>
      <c r="R47" s="160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7">
        <f t="shared" si="0"/>
        <v>0</v>
      </c>
      <c r="R48" s="160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7">
        <f t="shared" si="0"/>
        <v>0</v>
      </c>
      <c r="R49" s="160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5050</v>
      </c>
      <c r="D50" s="6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7">
        <f t="shared" si="0"/>
        <v>0</v>
      </c>
      <c r="R50" s="160"/>
      <c r="S50" s="6">
        <f t="shared" si="1"/>
        <v>5050</v>
      </c>
      <c r="T50" s="6">
        <f>-12000+8615</f>
        <v>-3385</v>
      </c>
      <c r="U50" s="6">
        <f t="shared" si="2"/>
        <v>1665</v>
      </c>
      <c r="V50" s="52"/>
      <c r="W50" s="57"/>
      <c r="X50" s="46"/>
      <c r="Y50" s="61"/>
      <c r="Z50" s="66">
        <f t="shared" si="3"/>
        <v>-5050</v>
      </c>
      <c r="AA50" s="61"/>
      <c r="AB50" s="64"/>
      <c r="AC50" s="61"/>
      <c r="AD50" s="66"/>
      <c r="AE50" s="61"/>
      <c r="AF50" s="52">
        <f t="shared" si="4"/>
        <v>-5050</v>
      </c>
      <c r="AG50" s="46">
        <f t="shared" si="5"/>
        <v>-3385</v>
      </c>
      <c r="AH50" s="51">
        <f t="shared" si="6"/>
        <v>-8435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60"/>
      <c r="F51" s="160"/>
      <c r="G51" s="160"/>
      <c r="H51" s="160"/>
      <c r="I51" s="160">
        <v>1000</v>
      </c>
      <c r="J51" s="160"/>
      <c r="K51" s="160">
        <v>1175</v>
      </c>
      <c r="L51" s="160"/>
      <c r="M51" s="160"/>
      <c r="N51" s="160"/>
      <c r="O51" s="160"/>
      <c r="P51" s="160"/>
      <c r="Q51" s="7">
        <f t="shared" si="0"/>
        <v>2175</v>
      </c>
      <c r="R51" s="160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7">
        <f t="shared" si="0"/>
        <v>0</v>
      </c>
      <c r="R52" s="160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14025</v>
      </c>
      <c r="D53" s="6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7">
        <f t="shared" si="0"/>
        <v>0</v>
      </c>
      <c r="R53" s="160">
        <v>1000</v>
      </c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60"/>
      <c r="F54" s="160"/>
      <c r="G54" s="160"/>
      <c r="H54" s="160"/>
      <c r="I54" s="160">
        <v>11950</v>
      </c>
      <c r="J54" s="160"/>
      <c r="K54" s="160">
        <v>1800</v>
      </c>
      <c r="L54" s="160"/>
      <c r="M54" s="160"/>
      <c r="N54" s="160"/>
      <c r="O54" s="160"/>
      <c r="P54" s="160"/>
      <c r="Q54" s="7">
        <f t="shared" si="0"/>
        <v>13750</v>
      </c>
      <c r="R54" s="160">
        <v>1400</v>
      </c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7">
        <f t="shared" si="0"/>
        <v>0</v>
      </c>
      <c r="R55" s="160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7">
        <f>SUM(E56:P56)</f>
        <v>0</v>
      </c>
      <c r="R56" s="160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7">
        <f t="shared" si="0"/>
        <v>0</v>
      </c>
      <c r="R61" s="160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7">
        <f t="shared" si="0"/>
        <v>0</v>
      </c>
      <c r="R62" s="159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7">
        <f t="shared" si="0"/>
        <v>0</v>
      </c>
      <c r="R63" s="159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7">
        <f t="shared" si="0"/>
        <v>0</v>
      </c>
      <c r="R64" s="159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7">
        <f t="shared" si="0"/>
        <v>0</v>
      </c>
      <c r="R65" s="159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61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7">
        <f t="shared" si="0"/>
        <v>0</v>
      </c>
      <c r="R67" s="160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7">
        <f t="shared" si="0"/>
        <v>0</v>
      </c>
      <c r="R68" s="160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33400</v>
      </c>
      <c r="D69" s="160">
        <v>8900</v>
      </c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7">
        <f t="shared" si="0"/>
        <v>0</v>
      </c>
      <c r="R69" s="160">
        <f>2000+7850+250+2250+250+7000+750+2000</f>
        <v>22350</v>
      </c>
      <c r="S69" s="6">
        <f t="shared" si="1"/>
        <v>19950</v>
      </c>
      <c r="T69" s="6">
        <v>-16950</v>
      </c>
      <c r="U69" s="6">
        <f t="shared" si="2"/>
        <v>3000</v>
      </c>
      <c r="V69" s="52"/>
      <c r="W69" s="57"/>
      <c r="X69" s="46"/>
      <c r="Y69" s="61"/>
      <c r="Z69" s="66">
        <f t="shared" si="3"/>
        <v>-19950</v>
      </c>
      <c r="AA69" s="61"/>
      <c r="AB69" s="64"/>
      <c r="AC69" s="61"/>
      <c r="AD69" s="66"/>
      <c r="AE69" s="61"/>
      <c r="AF69" s="52">
        <f t="shared" si="4"/>
        <v>-19950</v>
      </c>
      <c r="AG69" s="46">
        <f t="shared" si="5"/>
        <v>-16950</v>
      </c>
      <c r="AH69" s="51">
        <f t="shared" si="6"/>
        <v>-36900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20700</v>
      </c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7">
        <f t="shared" si="0"/>
        <v>0</v>
      </c>
      <c r="R70" s="160">
        <f>4300+1250+25</f>
        <v>5575</v>
      </c>
      <c r="S70" s="6">
        <f t="shared" si="1"/>
        <v>15125</v>
      </c>
      <c r="T70" s="6">
        <v>-9425</v>
      </c>
      <c r="U70" s="6">
        <f t="shared" si="2"/>
        <v>5700</v>
      </c>
      <c r="V70" s="52"/>
      <c r="W70" s="57"/>
      <c r="X70" s="46"/>
      <c r="Y70" s="61"/>
      <c r="Z70" s="66">
        <f t="shared" si="3"/>
        <v>-15125</v>
      </c>
      <c r="AA70" s="61"/>
      <c r="AB70" s="67"/>
      <c r="AC70" s="61"/>
      <c r="AD70" s="66"/>
      <c r="AE70" s="61"/>
      <c r="AF70" s="52">
        <f t="shared" si="4"/>
        <v>-15125</v>
      </c>
      <c r="AG70" s="46">
        <f t="shared" si="5"/>
        <v>-9425</v>
      </c>
      <c r="AH70" s="51">
        <f t="shared" si="6"/>
        <v>-24550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57500</v>
      </c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7">
        <f t="shared" si="0"/>
        <v>0</v>
      </c>
      <c r="R71" s="160">
        <f>5000+4000+125+75+9000+2250+2000</f>
        <v>22450</v>
      </c>
      <c r="S71" s="6">
        <f t="shared" si="1"/>
        <v>35050</v>
      </c>
      <c r="T71" s="6">
        <v>-27500</v>
      </c>
      <c r="U71" s="6">
        <f t="shared" si="2"/>
        <v>7550</v>
      </c>
      <c r="V71" s="52"/>
      <c r="W71" s="57"/>
      <c r="X71" s="46"/>
      <c r="Y71" s="61"/>
      <c r="Z71" s="66">
        <f t="shared" si="3"/>
        <v>-35050</v>
      </c>
      <c r="AA71" s="61"/>
      <c r="AB71" s="64"/>
      <c r="AC71" s="61"/>
      <c r="AD71" s="66"/>
      <c r="AE71" s="61"/>
      <c r="AF71" s="52">
        <f t="shared" si="4"/>
        <v>-35050</v>
      </c>
      <c r="AG71" s="46">
        <f t="shared" si="5"/>
        <v>-27500</v>
      </c>
      <c r="AH71" s="51">
        <f t="shared" si="6"/>
        <v>-62550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60">
        <f>SUM(C7:C72)</f>
        <v>455880</v>
      </c>
      <c r="D73" s="160">
        <f t="shared" ref="D73:V73" si="11">SUM(D7:D72)</f>
        <v>38400</v>
      </c>
      <c r="E73" s="160">
        <f t="shared" si="11"/>
        <v>0</v>
      </c>
      <c r="F73" s="160">
        <f t="shared" si="11"/>
        <v>0</v>
      </c>
      <c r="G73" s="160">
        <f t="shared" si="11"/>
        <v>0</v>
      </c>
      <c r="H73" s="27">
        <f t="shared" si="11"/>
        <v>0</v>
      </c>
      <c r="I73" s="160">
        <f t="shared" si="11"/>
        <v>12950</v>
      </c>
      <c r="J73" s="160">
        <f t="shared" si="11"/>
        <v>0</v>
      </c>
      <c r="K73" s="160">
        <f t="shared" si="11"/>
        <v>7000</v>
      </c>
      <c r="L73" s="160">
        <f t="shared" si="11"/>
        <v>0</v>
      </c>
      <c r="M73" s="160">
        <f t="shared" si="11"/>
        <v>0</v>
      </c>
      <c r="N73" s="160">
        <f t="shared" si="11"/>
        <v>0</v>
      </c>
      <c r="O73" s="160">
        <f t="shared" si="11"/>
        <v>0</v>
      </c>
      <c r="P73" s="160">
        <f t="shared" si="11"/>
        <v>0</v>
      </c>
      <c r="Q73" s="160">
        <f t="shared" si="11"/>
        <v>19950</v>
      </c>
      <c r="R73" s="160">
        <f t="shared" si="11"/>
        <v>85615</v>
      </c>
      <c r="S73" s="160">
        <f t="shared" si="11"/>
        <v>408665</v>
      </c>
      <c r="T73" s="160">
        <f t="shared" si="11"/>
        <v>-286670</v>
      </c>
      <c r="U73" s="160">
        <f t="shared" si="11"/>
        <v>121995</v>
      </c>
      <c r="V73" s="160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-408665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-408665</v>
      </c>
      <c r="AG73" s="43">
        <f t="shared" si="12"/>
        <v>-286670</v>
      </c>
      <c r="AH73" s="43">
        <f t="shared" si="12"/>
        <v>-695335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19950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</f>
        <v>685870</v>
      </c>
      <c r="S74" s="211"/>
      <c r="T74" s="212">
        <f>R74+R75</f>
        <v>1661105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38400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</f>
        <v>975235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85615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</f>
        <v>1056155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</f>
        <v>185600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</f>
        <v>15600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213700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17070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41280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842455</v>
      </c>
      <c r="S80" s="197"/>
      <c r="T80" s="22"/>
      <c r="U80" s="22"/>
      <c r="V80" s="2"/>
      <c r="X80" s="63">
        <f>SUM(X77:X79)</f>
        <v>58350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62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21600</v>
      </c>
      <c r="R118" s="63">
        <f t="shared" si="14"/>
        <v>197600</v>
      </c>
      <c r="S118" s="63"/>
      <c r="T118" s="63">
        <f>SUM(T87:T117)</f>
        <v>1056155</v>
      </c>
      <c r="U118" s="63"/>
      <c r="V118" s="63">
        <f>SUM(V87:V117)</f>
        <v>685870</v>
      </c>
      <c r="W118" s="63">
        <f>SUM(W87:W117)</f>
        <v>975235</v>
      </c>
      <c r="X118" s="36">
        <f>SUM(V118:W118)</f>
        <v>1661105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7" activePane="bottomRight" state="frozen"/>
      <selection activeCell="O32" sqref="O32"/>
      <selection pane="topRight" activeCell="O32" sqref="O32"/>
      <selection pane="bottomLeft" activeCell="O32" sqref="O32"/>
      <selection pane="bottomRight" activeCell="O73" sqref="O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181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157</v>
      </c>
      <c r="P6" s="30" t="s">
        <v>183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10700</v>
      </c>
      <c r="D7" s="6">
        <v>4950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500+500+400+1500</f>
        <v>2900</v>
      </c>
      <c r="S7" s="6">
        <f>C7+D7-R7</f>
        <v>12750</v>
      </c>
      <c r="T7" s="34">
        <v>-9150</v>
      </c>
      <c r="U7" s="6">
        <f>S7+T7</f>
        <v>3600</v>
      </c>
      <c r="V7" s="52"/>
      <c r="W7" s="57"/>
      <c r="X7" s="46"/>
      <c r="Y7" s="65"/>
      <c r="Z7" s="66">
        <f>W7-S7</f>
        <v>-12750</v>
      </c>
      <c r="AA7" s="65"/>
      <c r="AB7" s="67"/>
      <c r="AC7" s="65"/>
      <c r="AD7" s="47"/>
      <c r="AE7" s="61"/>
      <c r="AF7" s="52">
        <f>SUM(Y7:AE7)</f>
        <v>-12750</v>
      </c>
      <c r="AG7" s="46">
        <f>U7+AF7</f>
        <v>-9150</v>
      </c>
      <c r="AH7" s="51">
        <f>AG7-S7</f>
        <v>-21900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41300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1800+400+1500+2000</f>
        <v>5700</v>
      </c>
      <c r="S8" s="6">
        <f t="shared" ref="S8:S71" si="1">C8+D8-R8</f>
        <v>35600</v>
      </c>
      <c r="T8" s="6">
        <v>-24350</v>
      </c>
      <c r="U8" s="6">
        <f t="shared" ref="U8:U71" si="2">S8+T8</f>
        <v>11250</v>
      </c>
      <c r="V8" s="52"/>
      <c r="W8" s="57"/>
      <c r="X8" s="46"/>
      <c r="Y8" s="61"/>
      <c r="Z8" s="66">
        <f t="shared" ref="Z8:Z71" si="3">W8-S8</f>
        <v>-35600</v>
      </c>
      <c r="AA8" s="61"/>
      <c r="AB8" s="67"/>
      <c r="AC8" s="61"/>
      <c r="AD8" s="66"/>
      <c r="AE8" s="61"/>
      <c r="AF8" s="52">
        <f t="shared" ref="AF8:AF71" si="4">SUM(Y8:AE8)</f>
        <v>-35600</v>
      </c>
      <c r="AG8" s="46">
        <f t="shared" ref="AG8:AG71" si="5">U8+AF8</f>
        <v>-24350</v>
      </c>
      <c r="AH8" s="51">
        <f t="shared" ref="AH8:AH71" si="6">AG8-S8</f>
        <v>-59950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7700</v>
      </c>
      <c r="D11" s="6">
        <v>4200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11900</v>
      </c>
      <c r="T11" s="6">
        <v>-3750</v>
      </c>
      <c r="U11" s="6">
        <f t="shared" si="2"/>
        <v>8150</v>
      </c>
      <c r="V11" s="52"/>
      <c r="W11" s="57"/>
      <c r="X11" s="46"/>
      <c r="Y11" s="61"/>
      <c r="Z11" s="66">
        <f t="shared" si="3"/>
        <v>-11900</v>
      </c>
      <c r="AA11" s="61"/>
      <c r="AB11" s="67"/>
      <c r="AC11" s="61"/>
      <c r="AD11" s="66"/>
      <c r="AE11" s="61"/>
      <c r="AF11" s="52">
        <f t="shared" si="4"/>
        <v>-11900</v>
      </c>
      <c r="AG11" s="46">
        <f t="shared" si="5"/>
        <v>-3750</v>
      </c>
      <c r="AH11" s="51">
        <f t="shared" si="6"/>
        <v>-15650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750</v>
      </c>
      <c r="S12" s="6">
        <f t="shared" si="1"/>
        <v>-750</v>
      </c>
      <c r="T12" s="6">
        <v>4700</v>
      </c>
      <c r="U12" s="6">
        <f t="shared" si="2"/>
        <v>3950</v>
      </c>
      <c r="V12" s="52"/>
      <c r="W12" s="57"/>
      <c r="X12" s="46"/>
      <c r="Y12" s="61"/>
      <c r="Z12" s="66">
        <f t="shared" si="3"/>
        <v>750</v>
      </c>
      <c r="AA12" s="61"/>
      <c r="AB12" s="67"/>
      <c r="AC12" s="61"/>
      <c r="AD12" s="66"/>
      <c r="AE12" s="61"/>
      <c r="AF12" s="52">
        <f t="shared" si="4"/>
        <v>750</v>
      </c>
      <c r="AG12" s="46">
        <f t="shared" si="5"/>
        <v>4700</v>
      </c>
      <c r="AH12" s="51">
        <f t="shared" si="6"/>
        <v>5450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29610</v>
      </c>
      <c r="D14" s="6">
        <f>8000+2000</f>
        <v>10000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800+1250+6000+3750+1000</f>
        <v>12800</v>
      </c>
      <c r="S14" s="6">
        <f t="shared" si="1"/>
        <v>26810</v>
      </c>
      <c r="T14" s="6">
        <v>-5760</v>
      </c>
      <c r="U14" s="6">
        <f t="shared" si="2"/>
        <v>21050</v>
      </c>
      <c r="V14" s="52"/>
      <c r="W14" s="57"/>
      <c r="X14" s="46"/>
      <c r="Y14" s="61"/>
      <c r="Z14" s="66">
        <f t="shared" si="3"/>
        <v>-26810</v>
      </c>
      <c r="AA14" s="61"/>
      <c r="AB14" s="66"/>
      <c r="AC14" s="61"/>
      <c r="AD14" s="66"/>
      <c r="AE14" s="61"/>
      <c r="AF14" s="52">
        <f t="shared" si="4"/>
        <v>-26810</v>
      </c>
      <c r="AG14" s="46">
        <f t="shared" si="5"/>
        <v>-5760</v>
      </c>
      <c r="AH14" s="51">
        <f t="shared" si="6"/>
        <v>-32570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12800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1500</v>
      </c>
      <c r="S16" s="6">
        <f t="shared" si="1"/>
        <v>11300</v>
      </c>
      <c r="T16" s="34">
        <v>-10050</v>
      </c>
      <c r="U16" s="6">
        <f t="shared" si="2"/>
        <v>1250</v>
      </c>
      <c r="V16" s="52"/>
      <c r="W16" s="57"/>
      <c r="X16" s="46"/>
      <c r="Y16" s="61"/>
      <c r="Z16" s="66">
        <f t="shared" si="3"/>
        <v>-11300</v>
      </c>
      <c r="AA16" s="61"/>
      <c r="AB16" s="67"/>
      <c r="AC16" s="61"/>
      <c r="AD16" s="47"/>
      <c r="AE16" s="61"/>
      <c r="AF16" s="52">
        <f t="shared" si="4"/>
        <v>-11300</v>
      </c>
      <c r="AG16" s="46">
        <f t="shared" si="5"/>
        <v>-10050</v>
      </c>
      <c r="AH16" s="51">
        <f t="shared" si="6"/>
        <v>-21350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12200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100+2000</f>
        <v>2100</v>
      </c>
      <c r="S17" s="6">
        <f t="shared" si="1"/>
        <v>10100</v>
      </c>
      <c r="T17" s="6">
        <v>-5000</v>
      </c>
      <c r="U17" s="6">
        <f t="shared" si="2"/>
        <v>5100</v>
      </c>
      <c r="V17" s="52"/>
      <c r="W17" s="57"/>
      <c r="X17" s="46"/>
      <c r="Y17" s="61"/>
      <c r="Z17" s="66">
        <f t="shared" si="3"/>
        <v>-10100</v>
      </c>
      <c r="AA17" s="61"/>
      <c r="AB17" s="66"/>
      <c r="AC17" s="61"/>
      <c r="AD17" s="66"/>
      <c r="AE17" s="61"/>
      <c r="AF17" s="52">
        <f t="shared" si="4"/>
        <v>-10100</v>
      </c>
      <c r="AG17" s="46">
        <f t="shared" si="5"/>
        <v>-5000</v>
      </c>
      <c r="AH17" s="51">
        <f t="shared" si="6"/>
        <v>-15100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7">
        <f t="shared" si="0"/>
        <v>0</v>
      </c>
      <c r="R22" s="160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7">
        <f t="shared" si="0"/>
        <v>0</v>
      </c>
      <c r="R24" s="160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7">
        <f t="shared" si="0"/>
        <v>0</v>
      </c>
      <c r="R25" s="160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7">
        <f t="shared" si="0"/>
        <v>0</v>
      </c>
      <c r="R26" s="160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7">
        <f t="shared" si="0"/>
        <v>0</v>
      </c>
      <c r="R27" s="160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1520</v>
      </c>
      <c r="D28" s="6">
        <v>5660</v>
      </c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7">
        <f t="shared" si="0"/>
        <v>0</v>
      </c>
      <c r="R28" s="160"/>
      <c r="S28" s="6">
        <f t="shared" si="1"/>
        <v>7180</v>
      </c>
      <c r="T28" s="6">
        <f>-40-100</f>
        <v>-140</v>
      </c>
      <c r="U28" s="6">
        <f t="shared" si="2"/>
        <v>7040</v>
      </c>
      <c r="V28" s="52"/>
      <c r="W28" s="57"/>
      <c r="X28" s="46"/>
      <c r="Y28" s="61"/>
      <c r="Z28" s="66">
        <f t="shared" si="3"/>
        <v>-7180</v>
      </c>
      <c r="AA28" s="61"/>
      <c r="AB28" s="67"/>
      <c r="AC28" s="61"/>
      <c r="AD28" s="66"/>
      <c r="AE28" s="61"/>
      <c r="AF28" s="52">
        <f t="shared" si="4"/>
        <v>-7180</v>
      </c>
      <c r="AG28" s="46">
        <f t="shared" si="5"/>
        <v>-140</v>
      </c>
      <c r="AH28" s="51">
        <f t="shared" si="6"/>
        <v>-7320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-820</v>
      </c>
      <c r="D29" s="6">
        <v>6000</v>
      </c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7">
        <f t="shared" si="0"/>
        <v>0</v>
      </c>
      <c r="R29" s="160"/>
      <c r="S29" s="6">
        <f t="shared" si="1"/>
        <v>5180</v>
      </c>
      <c r="T29" s="6">
        <f>860+100</f>
        <v>960</v>
      </c>
      <c r="U29" s="6">
        <f t="shared" si="2"/>
        <v>6140</v>
      </c>
      <c r="V29" s="52"/>
      <c r="W29" s="57"/>
      <c r="X29" s="46"/>
      <c r="Y29" s="61"/>
      <c r="Z29" s="66">
        <f t="shared" si="3"/>
        <v>-5180</v>
      </c>
      <c r="AA29" s="61"/>
      <c r="AB29" s="67"/>
      <c r="AC29" s="61"/>
      <c r="AD29" s="66"/>
      <c r="AE29" s="61"/>
      <c r="AF29" s="52">
        <f t="shared" si="4"/>
        <v>-5180</v>
      </c>
      <c r="AG29" s="46">
        <f t="shared" si="5"/>
        <v>960</v>
      </c>
      <c r="AH29" s="51">
        <f t="shared" si="6"/>
        <v>-4220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7">
        <f t="shared" si="0"/>
        <v>0</v>
      </c>
      <c r="R30" s="160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7">
        <f t="shared" si="0"/>
        <v>0</v>
      </c>
      <c r="R31" s="160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21660</v>
      </c>
      <c r="D32" s="6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6"/>
      <c r="P32" s="6"/>
      <c r="Q32" s="7">
        <f>SUM(E32:P32)</f>
        <v>0</v>
      </c>
      <c r="R32" s="160"/>
      <c r="S32" s="6">
        <f t="shared" si="1"/>
        <v>21660</v>
      </c>
      <c r="T32" s="6">
        <v>-18280</v>
      </c>
      <c r="U32" s="6">
        <f t="shared" si="2"/>
        <v>3380</v>
      </c>
      <c r="V32" s="52"/>
      <c r="W32" s="57"/>
      <c r="X32" s="46"/>
      <c r="Y32" s="61"/>
      <c r="Z32" s="66">
        <f t="shared" si="3"/>
        <v>-21660</v>
      </c>
      <c r="AA32" s="61"/>
      <c r="AB32" s="67"/>
      <c r="AC32" s="61"/>
      <c r="AD32" s="66"/>
      <c r="AE32" s="61"/>
      <c r="AF32" s="52">
        <f t="shared" si="4"/>
        <v>-21660</v>
      </c>
      <c r="AG32" s="46">
        <f t="shared" si="5"/>
        <v>-18280</v>
      </c>
      <c r="AH32" s="51">
        <f t="shared" si="6"/>
        <v>-39940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7">
        <f t="shared" si="0"/>
        <v>0</v>
      </c>
      <c r="R33" s="160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1860</v>
      </c>
      <c r="D34" s="6"/>
      <c r="E34" s="160"/>
      <c r="F34" s="160"/>
      <c r="G34" s="160"/>
      <c r="H34" s="160"/>
      <c r="I34" s="160"/>
      <c r="J34" s="160"/>
      <c r="K34" s="6"/>
      <c r="L34" s="160"/>
      <c r="M34" s="160"/>
      <c r="N34" s="160"/>
      <c r="O34" s="160"/>
      <c r="P34" s="160"/>
      <c r="Q34" s="7">
        <f t="shared" si="0"/>
        <v>0</v>
      </c>
      <c r="R34" s="160"/>
      <c r="S34" s="6">
        <f t="shared" si="1"/>
        <v>1860</v>
      </c>
      <c r="T34" s="6">
        <v>2960</v>
      </c>
      <c r="U34" s="6">
        <f t="shared" si="2"/>
        <v>4820</v>
      </c>
      <c r="V34" s="52"/>
      <c r="W34" s="57"/>
      <c r="X34" s="46"/>
      <c r="Y34" s="61"/>
      <c r="Z34" s="66">
        <f t="shared" si="3"/>
        <v>-1860</v>
      </c>
      <c r="AA34" s="61"/>
      <c r="AB34" s="67"/>
      <c r="AC34" s="61"/>
      <c r="AD34" s="66"/>
      <c r="AE34" s="61"/>
      <c r="AF34" s="52">
        <f t="shared" si="4"/>
        <v>-1860</v>
      </c>
      <c r="AG34" s="46">
        <f t="shared" si="5"/>
        <v>2960</v>
      </c>
      <c r="AH34" s="51">
        <f t="shared" si="6"/>
        <v>1100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60"/>
      <c r="F35" s="160"/>
      <c r="G35" s="160"/>
      <c r="H35" s="160"/>
      <c r="I35" s="160"/>
      <c r="J35" s="160"/>
      <c r="K35" s="6"/>
      <c r="L35" s="160"/>
      <c r="M35" s="160"/>
      <c r="N35" s="160"/>
      <c r="O35" s="160"/>
      <c r="P35" s="160"/>
      <c r="Q35" s="7">
        <f t="shared" si="0"/>
        <v>0</v>
      </c>
      <c r="R35" s="160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>
        <v>2350</v>
      </c>
      <c r="Q36" s="7">
        <f t="shared" si="0"/>
        <v>2350</v>
      </c>
      <c r="R36" s="160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7">
        <f t="shared" si="0"/>
        <v>0</v>
      </c>
      <c r="R37" s="160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2180</v>
      </c>
      <c r="D38" s="6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>
        <v>16925</v>
      </c>
      <c r="P38" s="160"/>
      <c r="Q38" s="7">
        <f>SUM(E38:P38)</f>
        <v>16925</v>
      </c>
      <c r="R38" s="160">
        <v>300</v>
      </c>
      <c r="S38" s="6">
        <f t="shared" si="1"/>
        <v>1880</v>
      </c>
      <c r="T38" s="6">
        <v>-1340</v>
      </c>
      <c r="U38" s="6">
        <f t="shared" si="2"/>
        <v>540</v>
      </c>
      <c r="V38" s="52"/>
      <c r="W38" s="57"/>
      <c r="X38" s="46"/>
      <c r="Y38" s="61"/>
      <c r="Z38" s="66">
        <f t="shared" si="3"/>
        <v>-1880</v>
      </c>
      <c r="AA38" s="61"/>
      <c r="AB38" s="64"/>
      <c r="AC38" s="61"/>
      <c r="AD38" s="66"/>
      <c r="AE38" s="61"/>
      <c r="AF38" s="52">
        <f t="shared" si="4"/>
        <v>-1880</v>
      </c>
      <c r="AG38" s="46">
        <f t="shared" si="5"/>
        <v>-1340</v>
      </c>
      <c r="AH38" s="51">
        <f t="shared" si="6"/>
        <v>-3220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7">
        <f>SUM(E39:P39)</f>
        <v>0</v>
      </c>
      <c r="R39" s="160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11700</v>
      </c>
      <c r="D40" s="6"/>
      <c r="E40" s="160"/>
      <c r="F40" s="160"/>
      <c r="G40" s="160"/>
      <c r="H40" s="27"/>
      <c r="I40" s="160"/>
      <c r="J40" s="160"/>
      <c r="K40" s="160"/>
      <c r="L40" s="160"/>
      <c r="M40" s="160"/>
      <c r="N40" s="160"/>
      <c r="O40" s="160"/>
      <c r="P40" s="160"/>
      <c r="Q40" s="7">
        <f>SUM(E40:P40)</f>
        <v>0</v>
      </c>
      <c r="R40" s="160"/>
      <c r="S40" s="6">
        <f t="shared" si="1"/>
        <v>11700</v>
      </c>
      <c r="T40" s="6">
        <f>-10260+40</f>
        <v>-10220</v>
      </c>
      <c r="U40" s="6">
        <f t="shared" si="2"/>
        <v>1480</v>
      </c>
      <c r="V40" s="52"/>
      <c r="W40" s="57"/>
      <c r="X40" s="46"/>
      <c r="Y40" s="61"/>
      <c r="Z40" s="66">
        <f t="shared" si="3"/>
        <v>-11700</v>
      </c>
      <c r="AA40" s="61"/>
      <c r="AB40" s="67"/>
      <c r="AC40" s="61"/>
      <c r="AD40" s="66"/>
      <c r="AE40" s="61"/>
      <c r="AF40" s="52">
        <f t="shared" si="4"/>
        <v>-11700</v>
      </c>
      <c r="AG40" s="46">
        <f t="shared" si="5"/>
        <v>-10220</v>
      </c>
      <c r="AH40" s="51">
        <f t="shared" si="6"/>
        <v>-21920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5040</v>
      </c>
      <c r="D41" s="6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7">
        <f>SUM(E41:P41)</f>
        <v>0</v>
      </c>
      <c r="R41" s="160">
        <v>4700</v>
      </c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7">
        <f>SUM(E42:P42)</f>
        <v>0</v>
      </c>
      <c r="R42" s="160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7">
        <f t="shared" si="0"/>
        <v>0</v>
      </c>
      <c r="R44" s="160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7">
        <f t="shared" si="0"/>
        <v>0</v>
      </c>
      <c r="R45" s="160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7">
        <f t="shared" si="0"/>
        <v>0</v>
      </c>
      <c r="R46" s="160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7">
        <f t="shared" si="0"/>
        <v>0</v>
      </c>
      <c r="R47" s="160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7">
        <f t="shared" si="0"/>
        <v>0</v>
      </c>
      <c r="R48" s="160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7">
        <f t="shared" si="0"/>
        <v>0</v>
      </c>
      <c r="R49" s="160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5050</v>
      </c>
      <c r="D50" s="6"/>
      <c r="E50" s="160"/>
      <c r="F50" s="160"/>
      <c r="G50" s="160"/>
      <c r="H50" s="160"/>
      <c r="I50" s="160"/>
      <c r="J50" s="160"/>
      <c r="K50" s="160">
        <v>6000</v>
      </c>
      <c r="L50" s="160"/>
      <c r="M50" s="160"/>
      <c r="N50" s="160"/>
      <c r="O50" s="160"/>
      <c r="P50" s="160"/>
      <c r="Q50" s="7">
        <f t="shared" si="0"/>
        <v>6000</v>
      </c>
      <c r="R50" s="160">
        <v>1000</v>
      </c>
      <c r="S50" s="6">
        <f t="shared" si="1"/>
        <v>4050</v>
      </c>
      <c r="T50" s="6">
        <f>-12000+8615</f>
        <v>-3385</v>
      </c>
      <c r="U50" s="6">
        <f t="shared" si="2"/>
        <v>665</v>
      </c>
      <c r="V50" s="52"/>
      <c r="W50" s="57"/>
      <c r="X50" s="46"/>
      <c r="Y50" s="61"/>
      <c r="Z50" s="66">
        <f t="shared" si="3"/>
        <v>-4050</v>
      </c>
      <c r="AA50" s="61"/>
      <c r="AB50" s="64"/>
      <c r="AC50" s="61"/>
      <c r="AD50" s="66"/>
      <c r="AE50" s="61"/>
      <c r="AF50" s="52">
        <f t="shared" si="4"/>
        <v>-4050</v>
      </c>
      <c r="AG50" s="46">
        <f t="shared" si="5"/>
        <v>-3385</v>
      </c>
      <c r="AH50" s="51">
        <f t="shared" si="6"/>
        <v>-7435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7">
        <f t="shared" si="0"/>
        <v>0</v>
      </c>
      <c r="R51" s="160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7">
        <f t="shared" si="0"/>
        <v>0</v>
      </c>
      <c r="R52" s="160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13025</v>
      </c>
      <c r="D53" s="6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7">
        <f t="shared" si="0"/>
        <v>0</v>
      </c>
      <c r="R53" s="160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3750</v>
      </c>
      <c r="D54" s="6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7">
        <f t="shared" si="0"/>
        <v>0</v>
      </c>
      <c r="R54" s="160"/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7">
        <f t="shared" si="0"/>
        <v>0</v>
      </c>
      <c r="R55" s="160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7">
        <f>SUM(E56:P56)</f>
        <v>0</v>
      </c>
      <c r="R56" s="160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7">
        <f t="shared" si="0"/>
        <v>0</v>
      </c>
      <c r="R61" s="160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7">
        <f t="shared" si="0"/>
        <v>0</v>
      </c>
      <c r="R62" s="159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7">
        <f t="shared" si="0"/>
        <v>0</v>
      </c>
      <c r="R63" s="159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7">
        <f t="shared" si="0"/>
        <v>0</v>
      </c>
      <c r="R64" s="159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7">
        <f t="shared" si="0"/>
        <v>0</v>
      </c>
      <c r="R65" s="159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61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7">
        <f t="shared" si="0"/>
        <v>0</v>
      </c>
      <c r="R67" s="160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7">
        <f t="shared" si="0"/>
        <v>0</v>
      </c>
      <c r="R68" s="160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19950</v>
      </c>
      <c r="D69" s="160">
        <v>12050</v>
      </c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7">
        <f t="shared" si="0"/>
        <v>0</v>
      </c>
      <c r="R69" s="160">
        <v>500</v>
      </c>
      <c r="S69" s="6">
        <f t="shared" si="1"/>
        <v>31500</v>
      </c>
      <c r="T69" s="6">
        <v>-16950</v>
      </c>
      <c r="U69" s="6">
        <f t="shared" si="2"/>
        <v>14550</v>
      </c>
      <c r="V69" s="52"/>
      <c r="W69" s="57"/>
      <c r="X69" s="46"/>
      <c r="Y69" s="61"/>
      <c r="Z69" s="66">
        <f t="shared" si="3"/>
        <v>-31500</v>
      </c>
      <c r="AA69" s="61"/>
      <c r="AB69" s="64"/>
      <c r="AC69" s="61"/>
      <c r="AD69" s="66"/>
      <c r="AE69" s="61"/>
      <c r="AF69" s="52">
        <f t="shared" si="4"/>
        <v>-31500</v>
      </c>
      <c r="AG69" s="46">
        <f t="shared" si="5"/>
        <v>-16950</v>
      </c>
      <c r="AH69" s="51">
        <f t="shared" si="6"/>
        <v>-48450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15125</v>
      </c>
      <c r="D70" s="160">
        <v>3000</v>
      </c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7">
        <f t="shared" si="0"/>
        <v>0</v>
      </c>
      <c r="R70" s="160">
        <f>200+2500</f>
        <v>2700</v>
      </c>
      <c r="S70" s="6">
        <f t="shared" si="1"/>
        <v>15425</v>
      </c>
      <c r="T70" s="6">
        <v>-9425</v>
      </c>
      <c r="U70" s="6">
        <f t="shared" si="2"/>
        <v>6000</v>
      </c>
      <c r="V70" s="52"/>
      <c r="W70" s="57"/>
      <c r="X70" s="46"/>
      <c r="Y70" s="61"/>
      <c r="Z70" s="66">
        <f t="shared" si="3"/>
        <v>-15425</v>
      </c>
      <c r="AA70" s="61"/>
      <c r="AB70" s="67"/>
      <c r="AC70" s="61"/>
      <c r="AD70" s="66"/>
      <c r="AE70" s="61"/>
      <c r="AF70" s="52">
        <f t="shared" si="4"/>
        <v>-15425</v>
      </c>
      <c r="AG70" s="46">
        <f t="shared" si="5"/>
        <v>-9425</v>
      </c>
      <c r="AH70" s="51">
        <f t="shared" si="6"/>
        <v>-24850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35050</v>
      </c>
      <c r="D71" s="160">
        <v>4950</v>
      </c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7">
        <f t="shared" si="0"/>
        <v>0</v>
      </c>
      <c r="R71" s="160">
        <f>200+2500</f>
        <v>2700</v>
      </c>
      <c r="S71" s="6">
        <f t="shared" si="1"/>
        <v>37300</v>
      </c>
      <c r="T71" s="6">
        <v>-27500</v>
      </c>
      <c r="U71" s="6">
        <f t="shared" si="2"/>
        <v>9800</v>
      </c>
      <c r="V71" s="52"/>
      <c r="W71" s="57"/>
      <c r="X71" s="46"/>
      <c r="Y71" s="61"/>
      <c r="Z71" s="66">
        <f t="shared" si="3"/>
        <v>-37300</v>
      </c>
      <c r="AA71" s="61"/>
      <c r="AB71" s="64"/>
      <c r="AC71" s="61"/>
      <c r="AD71" s="66"/>
      <c r="AE71" s="61"/>
      <c r="AF71" s="52">
        <f t="shared" si="4"/>
        <v>-37300</v>
      </c>
      <c r="AG71" s="46">
        <f t="shared" si="5"/>
        <v>-27500</v>
      </c>
      <c r="AH71" s="51">
        <f t="shared" si="6"/>
        <v>-64800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60">
        <f>SUM(C7:C72)</f>
        <v>408665</v>
      </c>
      <c r="D73" s="160">
        <f t="shared" ref="D73:V73" si="11">SUM(D7:D72)</f>
        <v>50810</v>
      </c>
      <c r="E73" s="160">
        <f t="shared" si="11"/>
        <v>0</v>
      </c>
      <c r="F73" s="160">
        <f t="shared" si="11"/>
        <v>0</v>
      </c>
      <c r="G73" s="160">
        <f t="shared" si="11"/>
        <v>0</v>
      </c>
      <c r="H73" s="27">
        <f t="shared" si="11"/>
        <v>0</v>
      </c>
      <c r="I73" s="160">
        <f t="shared" si="11"/>
        <v>0</v>
      </c>
      <c r="J73" s="160">
        <f t="shared" si="11"/>
        <v>0</v>
      </c>
      <c r="K73" s="160">
        <f t="shared" si="11"/>
        <v>6000</v>
      </c>
      <c r="L73" s="160">
        <f t="shared" si="11"/>
        <v>0</v>
      </c>
      <c r="M73" s="160">
        <f t="shared" si="11"/>
        <v>0</v>
      </c>
      <c r="N73" s="160">
        <f t="shared" si="11"/>
        <v>0</v>
      </c>
      <c r="O73" s="160">
        <f t="shared" si="11"/>
        <v>16925</v>
      </c>
      <c r="P73" s="160">
        <f t="shared" si="11"/>
        <v>2350</v>
      </c>
      <c r="Q73" s="160">
        <f t="shared" si="11"/>
        <v>25275</v>
      </c>
      <c r="R73" s="160">
        <f t="shared" si="11"/>
        <v>37650</v>
      </c>
      <c r="S73" s="160">
        <f t="shared" si="11"/>
        <v>421825</v>
      </c>
      <c r="T73" s="160">
        <f t="shared" si="11"/>
        <v>-286670</v>
      </c>
      <c r="U73" s="160">
        <f t="shared" si="11"/>
        <v>135155</v>
      </c>
      <c r="V73" s="160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-421825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-421825</v>
      </c>
      <c r="AG73" s="43">
        <f t="shared" si="12"/>
        <v>-286670</v>
      </c>
      <c r="AH73" s="43">
        <f t="shared" si="12"/>
        <v>-708495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25275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19040+34230+16185+52765+57455+19000+30150+15160+25540+49550+7100+5800+25240+9300+63245+35645+52970+12050+29320+48350+57825+19950+25275</f>
        <v>711145</v>
      </c>
      <c r="S74" s="211"/>
      <c r="T74" s="212">
        <f>R74+R75</f>
        <v>1737190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50810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28525+29600+39100+3100+62165+29250+69870+73500+69085+35150+67115+10100+28325+96100+8100+72500+38200+65350+45650+14350+51700+38400+50810</f>
        <v>1026045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37650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76510+33035+58040+13475+68820+6900+95950+62450+44990+60525+45725+16920+92525+40300+26350+54650+41350+37870+27175+44700+85615+22280+37650</f>
        <v>1093805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</f>
        <v>185600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</f>
        <v>15600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213700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52685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23400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880105</v>
      </c>
      <c r="S80" s="197"/>
      <c r="T80" s="22"/>
      <c r="U80" s="22"/>
      <c r="V80" s="2"/>
      <c r="X80" s="63">
        <f>SUM(X77:X79)</f>
        <v>76085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62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>
        <v>6000</v>
      </c>
      <c r="R109" s="36">
        <v>6000</v>
      </c>
      <c r="S109" s="36">
        <v>23</v>
      </c>
      <c r="T109" s="36">
        <v>37650</v>
      </c>
      <c r="U109" s="36">
        <v>23</v>
      </c>
      <c r="V109" s="36">
        <v>25275</v>
      </c>
      <c r="W109" s="36">
        <v>50810</v>
      </c>
      <c r="X109" s="36">
        <f t="shared" si="13"/>
        <v>76085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27600</v>
      </c>
      <c r="R118" s="63">
        <f t="shared" si="14"/>
        <v>203600</v>
      </c>
      <c r="S118" s="63"/>
      <c r="T118" s="63">
        <f>SUM(T87:T117)</f>
        <v>1093805</v>
      </c>
      <c r="U118" s="63"/>
      <c r="V118" s="63">
        <f>SUM(V87:V117)</f>
        <v>711145</v>
      </c>
      <c r="W118" s="63">
        <f>SUM(W87:W117)</f>
        <v>1026045</v>
      </c>
      <c r="X118" s="36">
        <f>SUM(V118:W118)</f>
        <v>1737190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P73" sqref="P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184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157</v>
      </c>
      <c r="P6" s="30" t="s">
        <v>183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12750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2500</v>
      </c>
      <c r="S7" s="6">
        <f>C7+D7-R7</f>
        <v>10250</v>
      </c>
      <c r="T7" s="34">
        <v>-9150</v>
      </c>
      <c r="U7" s="6">
        <f>S7+T7</f>
        <v>1100</v>
      </c>
      <c r="V7" s="52"/>
      <c r="W7" s="57"/>
      <c r="X7" s="46"/>
      <c r="Y7" s="65"/>
      <c r="Z7" s="66">
        <f>W7-S7</f>
        <v>-10250</v>
      </c>
      <c r="AA7" s="65"/>
      <c r="AB7" s="67"/>
      <c r="AC7" s="65"/>
      <c r="AD7" s="47"/>
      <c r="AE7" s="61"/>
      <c r="AF7" s="52">
        <f>SUM(Y7:AE7)</f>
        <v>-10250</v>
      </c>
      <c r="AG7" s="46">
        <f>U7+AF7</f>
        <v>-9150</v>
      </c>
      <c r="AH7" s="51">
        <f>AG7-S7</f>
        <v>-19400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35600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2000</v>
      </c>
      <c r="S8" s="6">
        <f t="shared" ref="S8:S71" si="1">C8+D8-R8</f>
        <v>33600</v>
      </c>
      <c r="T8" s="6">
        <v>-24350</v>
      </c>
      <c r="U8" s="6">
        <f t="shared" ref="U8:U71" si="2">S8+T8</f>
        <v>9250</v>
      </c>
      <c r="V8" s="52"/>
      <c r="W8" s="57"/>
      <c r="X8" s="46"/>
      <c r="Y8" s="61"/>
      <c r="Z8" s="66">
        <f t="shared" ref="Z8:Z71" si="3">W8-S8</f>
        <v>-33600</v>
      </c>
      <c r="AA8" s="61"/>
      <c r="AB8" s="67"/>
      <c r="AC8" s="61"/>
      <c r="AD8" s="66"/>
      <c r="AE8" s="61"/>
      <c r="AF8" s="52">
        <f t="shared" ref="AF8:AF71" si="4">SUM(Y8:AE8)</f>
        <v>-33600</v>
      </c>
      <c r="AG8" s="46">
        <f t="shared" ref="AG8:AG71" si="5">U8+AF8</f>
        <v>-24350</v>
      </c>
      <c r="AH8" s="51">
        <f t="shared" ref="AH8:AH71" si="6">AG8-S8</f>
        <v>-57950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11900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250+1000</f>
        <v>1250</v>
      </c>
      <c r="S11" s="6">
        <f t="shared" si="1"/>
        <v>10650</v>
      </c>
      <c r="T11" s="6">
        <v>-3750</v>
      </c>
      <c r="U11" s="6">
        <f t="shared" si="2"/>
        <v>6900</v>
      </c>
      <c r="V11" s="52"/>
      <c r="W11" s="57"/>
      <c r="X11" s="46"/>
      <c r="Y11" s="61"/>
      <c r="Z11" s="66">
        <f t="shared" si="3"/>
        <v>-10650</v>
      </c>
      <c r="AA11" s="61"/>
      <c r="AB11" s="67"/>
      <c r="AC11" s="61"/>
      <c r="AD11" s="66"/>
      <c r="AE11" s="61"/>
      <c r="AF11" s="52">
        <f t="shared" si="4"/>
        <v>-10650</v>
      </c>
      <c r="AG11" s="46">
        <f t="shared" si="5"/>
        <v>-3750</v>
      </c>
      <c r="AH11" s="51">
        <f t="shared" si="6"/>
        <v>-14400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-750</v>
      </c>
      <c r="D12" s="6">
        <v>2100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1000</v>
      </c>
      <c r="S12" s="6">
        <f t="shared" si="1"/>
        <v>350</v>
      </c>
      <c r="T12" s="6">
        <v>4700</v>
      </c>
      <c r="U12" s="6">
        <f t="shared" si="2"/>
        <v>5050</v>
      </c>
      <c r="V12" s="52"/>
      <c r="W12" s="57"/>
      <c r="X12" s="46"/>
      <c r="Y12" s="61"/>
      <c r="Z12" s="66">
        <f t="shared" si="3"/>
        <v>-350</v>
      </c>
      <c r="AA12" s="61"/>
      <c r="AB12" s="67"/>
      <c r="AC12" s="61"/>
      <c r="AD12" s="66"/>
      <c r="AE12" s="61"/>
      <c r="AF12" s="52">
        <f t="shared" si="4"/>
        <v>-350</v>
      </c>
      <c r="AG12" s="46">
        <f t="shared" si="5"/>
        <v>4700</v>
      </c>
      <c r="AH12" s="51">
        <f t="shared" si="6"/>
        <v>4350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26810</v>
      </c>
      <c r="D14" s="6">
        <f>10000+5750</f>
        <v>15750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6000+750+1400+2000</f>
        <v>10150</v>
      </c>
      <c r="S14" s="6">
        <f t="shared" si="1"/>
        <v>32410</v>
      </c>
      <c r="T14" s="6">
        <v>-5760</v>
      </c>
      <c r="U14" s="6">
        <f t="shared" si="2"/>
        <v>26650</v>
      </c>
      <c r="V14" s="52"/>
      <c r="W14" s="57"/>
      <c r="X14" s="46"/>
      <c r="Y14" s="61"/>
      <c r="Z14" s="66">
        <f t="shared" si="3"/>
        <v>-32410</v>
      </c>
      <c r="AA14" s="61"/>
      <c r="AB14" s="66"/>
      <c r="AC14" s="61"/>
      <c r="AD14" s="66"/>
      <c r="AE14" s="61"/>
      <c r="AF14" s="52">
        <f t="shared" si="4"/>
        <v>-32410</v>
      </c>
      <c r="AG14" s="46">
        <f t="shared" si="5"/>
        <v>-5760</v>
      </c>
      <c r="AH14" s="51">
        <f t="shared" si="6"/>
        <v>-38170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11300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11300</v>
      </c>
      <c r="T16" s="34">
        <v>-10050</v>
      </c>
      <c r="U16" s="6">
        <f t="shared" si="2"/>
        <v>1250</v>
      </c>
      <c r="V16" s="52"/>
      <c r="W16" s="57"/>
      <c r="X16" s="46"/>
      <c r="Y16" s="61"/>
      <c r="Z16" s="66">
        <f t="shared" si="3"/>
        <v>-11300</v>
      </c>
      <c r="AA16" s="61"/>
      <c r="AB16" s="67"/>
      <c r="AC16" s="61"/>
      <c r="AD16" s="47"/>
      <c r="AE16" s="61"/>
      <c r="AF16" s="52">
        <f t="shared" si="4"/>
        <v>-11300</v>
      </c>
      <c r="AG16" s="46">
        <f t="shared" si="5"/>
        <v>-10050</v>
      </c>
      <c r="AH16" s="51">
        <f t="shared" si="6"/>
        <v>-21350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10100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10100</v>
      </c>
      <c r="T17" s="6">
        <v>-5000</v>
      </c>
      <c r="U17" s="6">
        <f t="shared" si="2"/>
        <v>5100</v>
      </c>
      <c r="V17" s="52"/>
      <c r="W17" s="57"/>
      <c r="X17" s="46"/>
      <c r="Y17" s="61"/>
      <c r="Z17" s="66">
        <f t="shared" si="3"/>
        <v>-10100</v>
      </c>
      <c r="AA17" s="61"/>
      <c r="AB17" s="66"/>
      <c r="AC17" s="61"/>
      <c r="AD17" s="66"/>
      <c r="AE17" s="61"/>
      <c r="AF17" s="52">
        <f t="shared" si="4"/>
        <v>-10100</v>
      </c>
      <c r="AG17" s="46">
        <f t="shared" si="5"/>
        <v>-5000</v>
      </c>
      <c r="AH17" s="51">
        <f t="shared" si="6"/>
        <v>-15100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7">
        <f t="shared" si="0"/>
        <v>0</v>
      </c>
      <c r="R22" s="166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7">
        <f t="shared" si="0"/>
        <v>0</v>
      </c>
      <c r="R24" s="166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7">
        <f t="shared" si="0"/>
        <v>0</v>
      </c>
      <c r="R25" s="166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7">
        <f t="shared" si="0"/>
        <v>0</v>
      </c>
      <c r="R26" s="166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7">
        <f t="shared" si="0"/>
        <v>0</v>
      </c>
      <c r="R27" s="166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7180</v>
      </c>
      <c r="D28" s="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7">
        <f t="shared" si="0"/>
        <v>0</v>
      </c>
      <c r="R28" s="166"/>
      <c r="S28" s="6">
        <f t="shared" si="1"/>
        <v>7180</v>
      </c>
      <c r="T28" s="6">
        <f>-40-100</f>
        <v>-140</v>
      </c>
      <c r="U28" s="6">
        <f t="shared" si="2"/>
        <v>7040</v>
      </c>
      <c r="V28" s="52"/>
      <c r="W28" s="57"/>
      <c r="X28" s="46"/>
      <c r="Y28" s="61"/>
      <c r="Z28" s="66">
        <f t="shared" si="3"/>
        <v>-7180</v>
      </c>
      <c r="AA28" s="61"/>
      <c r="AB28" s="67"/>
      <c r="AC28" s="61"/>
      <c r="AD28" s="66"/>
      <c r="AE28" s="61"/>
      <c r="AF28" s="52">
        <f t="shared" si="4"/>
        <v>-7180</v>
      </c>
      <c r="AG28" s="46">
        <f t="shared" si="5"/>
        <v>-140</v>
      </c>
      <c r="AH28" s="51">
        <f t="shared" si="6"/>
        <v>-7320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5180</v>
      </c>
      <c r="D29" s="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7">
        <f t="shared" si="0"/>
        <v>0</v>
      </c>
      <c r="R29" s="166"/>
      <c r="S29" s="6">
        <f t="shared" si="1"/>
        <v>5180</v>
      </c>
      <c r="T29" s="6">
        <f>860+100</f>
        <v>960</v>
      </c>
      <c r="U29" s="6">
        <f t="shared" si="2"/>
        <v>6140</v>
      </c>
      <c r="V29" s="52"/>
      <c r="W29" s="57"/>
      <c r="X29" s="46"/>
      <c r="Y29" s="61"/>
      <c r="Z29" s="66">
        <f t="shared" si="3"/>
        <v>-5180</v>
      </c>
      <c r="AA29" s="61"/>
      <c r="AB29" s="67"/>
      <c r="AC29" s="61"/>
      <c r="AD29" s="66"/>
      <c r="AE29" s="61"/>
      <c r="AF29" s="52">
        <f t="shared" si="4"/>
        <v>-5180</v>
      </c>
      <c r="AG29" s="46">
        <f t="shared" si="5"/>
        <v>960</v>
      </c>
      <c r="AH29" s="51">
        <f t="shared" si="6"/>
        <v>-4220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7">
        <f t="shared" si="0"/>
        <v>0</v>
      </c>
      <c r="R30" s="166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7">
        <f t="shared" si="0"/>
        <v>0</v>
      </c>
      <c r="R31" s="166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21660</v>
      </c>
      <c r="D32" s="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6"/>
      <c r="P32" s="6">
        <f>6775+4760</f>
        <v>11535</v>
      </c>
      <c r="Q32" s="7">
        <f>SUM(E32:P32)</f>
        <v>11535</v>
      </c>
      <c r="R32" s="166"/>
      <c r="S32" s="6">
        <f t="shared" si="1"/>
        <v>21660</v>
      </c>
      <c r="T32" s="6">
        <v>-18280</v>
      </c>
      <c r="U32" s="6">
        <f t="shared" si="2"/>
        <v>3380</v>
      </c>
      <c r="V32" s="52"/>
      <c r="W32" s="57"/>
      <c r="X32" s="46"/>
      <c r="Y32" s="61"/>
      <c r="Z32" s="66">
        <f t="shared" si="3"/>
        <v>-21660</v>
      </c>
      <c r="AA32" s="61"/>
      <c r="AB32" s="67"/>
      <c r="AC32" s="61"/>
      <c r="AD32" s="66"/>
      <c r="AE32" s="61"/>
      <c r="AF32" s="52">
        <f t="shared" si="4"/>
        <v>-21660</v>
      </c>
      <c r="AG32" s="46">
        <f t="shared" si="5"/>
        <v>-18280</v>
      </c>
      <c r="AH32" s="51">
        <f t="shared" si="6"/>
        <v>-39940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7">
        <f t="shared" si="0"/>
        <v>0</v>
      </c>
      <c r="R33" s="166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1860</v>
      </c>
      <c r="D34" s="6"/>
      <c r="E34" s="166"/>
      <c r="F34" s="166"/>
      <c r="G34" s="166"/>
      <c r="H34" s="166"/>
      <c r="I34" s="166"/>
      <c r="J34" s="166"/>
      <c r="K34" s="6"/>
      <c r="L34" s="166"/>
      <c r="M34" s="166"/>
      <c r="N34" s="166"/>
      <c r="O34" s="166"/>
      <c r="P34" s="166"/>
      <c r="Q34" s="7">
        <f t="shared" si="0"/>
        <v>0</v>
      </c>
      <c r="R34" s="166"/>
      <c r="S34" s="6">
        <f t="shared" si="1"/>
        <v>1860</v>
      </c>
      <c r="T34" s="6">
        <v>2960</v>
      </c>
      <c r="U34" s="6">
        <f t="shared" si="2"/>
        <v>4820</v>
      </c>
      <c r="V34" s="52"/>
      <c r="W34" s="57"/>
      <c r="X34" s="46"/>
      <c r="Y34" s="61"/>
      <c r="Z34" s="66">
        <f t="shared" si="3"/>
        <v>-1860</v>
      </c>
      <c r="AA34" s="61"/>
      <c r="AB34" s="67"/>
      <c r="AC34" s="61"/>
      <c r="AD34" s="66"/>
      <c r="AE34" s="61"/>
      <c r="AF34" s="52">
        <f t="shared" si="4"/>
        <v>-1860</v>
      </c>
      <c r="AG34" s="46">
        <f t="shared" si="5"/>
        <v>2960</v>
      </c>
      <c r="AH34" s="51">
        <f t="shared" si="6"/>
        <v>1100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66"/>
      <c r="F35" s="166"/>
      <c r="G35" s="166"/>
      <c r="H35" s="166"/>
      <c r="I35" s="166"/>
      <c r="J35" s="166"/>
      <c r="K35" s="6"/>
      <c r="L35" s="166"/>
      <c r="M35" s="166"/>
      <c r="N35" s="166"/>
      <c r="O35" s="166"/>
      <c r="P35" s="166"/>
      <c r="Q35" s="7">
        <f t="shared" si="0"/>
        <v>0</v>
      </c>
      <c r="R35" s="166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>
        <v>2100</v>
      </c>
      <c r="Q36" s="7">
        <f t="shared" si="0"/>
        <v>2100</v>
      </c>
      <c r="R36" s="166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7">
        <f t="shared" si="0"/>
        <v>0</v>
      </c>
      <c r="R37" s="166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1880</v>
      </c>
      <c r="D38" s="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7">
        <f>SUM(E38:P38)</f>
        <v>0</v>
      </c>
      <c r="R38" s="166"/>
      <c r="S38" s="6">
        <f t="shared" si="1"/>
        <v>1880</v>
      </c>
      <c r="T38" s="6">
        <v>-1340</v>
      </c>
      <c r="U38" s="6">
        <f t="shared" si="2"/>
        <v>540</v>
      </c>
      <c r="V38" s="52"/>
      <c r="W38" s="57"/>
      <c r="X38" s="46"/>
      <c r="Y38" s="61"/>
      <c r="Z38" s="66">
        <f t="shared" si="3"/>
        <v>-1880</v>
      </c>
      <c r="AA38" s="61"/>
      <c r="AB38" s="64"/>
      <c r="AC38" s="61"/>
      <c r="AD38" s="66"/>
      <c r="AE38" s="61"/>
      <c r="AF38" s="52">
        <f t="shared" si="4"/>
        <v>-1880</v>
      </c>
      <c r="AG38" s="46">
        <f t="shared" si="5"/>
        <v>-1340</v>
      </c>
      <c r="AH38" s="51">
        <f t="shared" si="6"/>
        <v>-3220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7">
        <f>SUM(E39:P39)</f>
        <v>0</v>
      </c>
      <c r="R39" s="166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11700</v>
      </c>
      <c r="D40" s="6"/>
      <c r="E40" s="166"/>
      <c r="F40" s="166"/>
      <c r="G40" s="166"/>
      <c r="H40" s="27"/>
      <c r="I40" s="166"/>
      <c r="J40" s="166"/>
      <c r="K40" s="166"/>
      <c r="L40" s="166"/>
      <c r="M40" s="166"/>
      <c r="N40" s="166"/>
      <c r="O40" s="166"/>
      <c r="P40" s="166"/>
      <c r="Q40" s="7">
        <f>SUM(E40:P40)</f>
        <v>0</v>
      </c>
      <c r="R40" s="166">
        <v>300</v>
      </c>
      <c r="S40" s="6">
        <f t="shared" si="1"/>
        <v>11400</v>
      </c>
      <c r="T40" s="6">
        <f>-10260+40</f>
        <v>-10220</v>
      </c>
      <c r="U40" s="6">
        <f t="shared" si="2"/>
        <v>1180</v>
      </c>
      <c r="V40" s="52"/>
      <c r="W40" s="57"/>
      <c r="X40" s="46"/>
      <c r="Y40" s="61"/>
      <c r="Z40" s="66">
        <f t="shared" si="3"/>
        <v>-11400</v>
      </c>
      <c r="AA40" s="61"/>
      <c r="AB40" s="67"/>
      <c r="AC40" s="61"/>
      <c r="AD40" s="66"/>
      <c r="AE40" s="61"/>
      <c r="AF40" s="52">
        <f t="shared" si="4"/>
        <v>-11400</v>
      </c>
      <c r="AG40" s="46">
        <f t="shared" si="5"/>
        <v>-10220</v>
      </c>
      <c r="AH40" s="51">
        <f t="shared" si="6"/>
        <v>-21620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7">
        <f>SUM(E41:P41)</f>
        <v>0</v>
      </c>
      <c r="R41" s="166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7">
        <f>SUM(E42:P42)</f>
        <v>0</v>
      </c>
      <c r="R42" s="166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7">
        <f t="shared" si="0"/>
        <v>0</v>
      </c>
      <c r="R44" s="166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7">
        <f t="shared" si="0"/>
        <v>0</v>
      </c>
      <c r="R45" s="166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7">
        <f t="shared" si="0"/>
        <v>0</v>
      </c>
      <c r="R46" s="166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7">
        <f t="shared" si="0"/>
        <v>0</v>
      </c>
      <c r="R47" s="166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7">
        <f t="shared" si="0"/>
        <v>0</v>
      </c>
      <c r="R48" s="166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7">
        <f t="shared" si="0"/>
        <v>0</v>
      </c>
      <c r="R49" s="166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4050</v>
      </c>
      <c r="D50" s="6"/>
      <c r="E50" s="166"/>
      <c r="F50" s="166"/>
      <c r="G50" s="166"/>
      <c r="H50" s="166"/>
      <c r="I50" s="166"/>
      <c r="J50" s="166"/>
      <c r="K50" s="166">
        <v>7850</v>
      </c>
      <c r="L50" s="166"/>
      <c r="M50" s="166"/>
      <c r="N50" s="166"/>
      <c r="O50" s="166"/>
      <c r="P50" s="166"/>
      <c r="Q50" s="7">
        <f t="shared" si="0"/>
        <v>7850</v>
      </c>
      <c r="R50" s="166"/>
      <c r="S50" s="6">
        <f t="shared" si="1"/>
        <v>4050</v>
      </c>
      <c r="T50" s="6">
        <f>-12000+8615</f>
        <v>-3385</v>
      </c>
      <c r="U50" s="6">
        <f t="shared" si="2"/>
        <v>665</v>
      </c>
      <c r="V50" s="52"/>
      <c r="W50" s="57"/>
      <c r="X50" s="46"/>
      <c r="Y50" s="61"/>
      <c r="Z50" s="66">
        <f t="shared" si="3"/>
        <v>-4050</v>
      </c>
      <c r="AA50" s="61"/>
      <c r="AB50" s="64"/>
      <c r="AC50" s="61"/>
      <c r="AD50" s="66"/>
      <c r="AE50" s="61"/>
      <c r="AF50" s="52">
        <f t="shared" si="4"/>
        <v>-4050</v>
      </c>
      <c r="AG50" s="46">
        <f t="shared" si="5"/>
        <v>-3385</v>
      </c>
      <c r="AH50" s="51">
        <f t="shared" si="6"/>
        <v>-7435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7">
        <f t="shared" si="0"/>
        <v>0</v>
      </c>
      <c r="R51" s="166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7">
        <f t="shared" si="0"/>
        <v>0</v>
      </c>
      <c r="R52" s="166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13025</v>
      </c>
      <c r="D53" s="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7">
        <f t="shared" si="0"/>
        <v>0</v>
      </c>
      <c r="R53" s="166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3750</v>
      </c>
      <c r="D54" s="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7">
        <f t="shared" si="0"/>
        <v>0</v>
      </c>
      <c r="R54" s="166"/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7">
        <f t="shared" si="0"/>
        <v>0</v>
      </c>
      <c r="R55" s="166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7">
        <f>SUM(E56:P56)</f>
        <v>0</v>
      </c>
      <c r="R56" s="166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7">
        <f t="shared" si="0"/>
        <v>0</v>
      </c>
      <c r="R61" s="166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7">
        <f t="shared" si="0"/>
        <v>0</v>
      </c>
      <c r="R62" s="165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7">
        <f t="shared" si="0"/>
        <v>0</v>
      </c>
      <c r="R63" s="165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7">
        <f t="shared" si="0"/>
        <v>0</v>
      </c>
      <c r="R64" s="165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7">
        <f t="shared" si="0"/>
        <v>0</v>
      </c>
      <c r="R65" s="165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64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7">
        <f t="shared" si="0"/>
        <v>0</v>
      </c>
      <c r="R67" s="166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7">
        <f t="shared" si="0"/>
        <v>0</v>
      </c>
      <c r="R68" s="166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31500</v>
      </c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7">
        <f t="shared" si="0"/>
        <v>0</v>
      </c>
      <c r="R69" s="166">
        <f>375+700</f>
        <v>1075</v>
      </c>
      <c r="S69" s="6">
        <f t="shared" si="1"/>
        <v>30425</v>
      </c>
      <c r="T69" s="6">
        <v>-16950</v>
      </c>
      <c r="U69" s="6">
        <f t="shared" si="2"/>
        <v>13475</v>
      </c>
      <c r="V69" s="52"/>
      <c r="W69" s="57"/>
      <c r="X69" s="46"/>
      <c r="Y69" s="61"/>
      <c r="Z69" s="66">
        <f t="shared" si="3"/>
        <v>-30425</v>
      </c>
      <c r="AA69" s="61"/>
      <c r="AB69" s="64"/>
      <c r="AC69" s="61"/>
      <c r="AD69" s="66"/>
      <c r="AE69" s="61"/>
      <c r="AF69" s="52">
        <f t="shared" si="4"/>
        <v>-30425</v>
      </c>
      <c r="AG69" s="46">
        <f t="shared" si="5"/>
        <v>-16950</v>
      </c>
      <c r="AH69" s="51">
        <f t="shared" si="6"/>
        <v>-47375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15425</v>
      </c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7">
        <f t="shared" si="0"/>
        <v>0</v>
      </c>
      <c r="R70" s="166">
        <f>125+3000</f>
        <v>3125</v>
      </c>
      <c r="S70" s="6">
        <f t="shared" si="1"/>
        <v>12300</v>
      </c>
      <c r="T70" s="6">
        <v>-9425</v>
      </c>
      <c r="U70" s="6">
        <f t="shared" si="2"/>
        <v>2875</v>
      </c>
      <c r="V70" s="52"/>
      <c r="W70" s="57"/>
      <c r="X70" s="46"/>
      <c r="Y70" s="61"/>
      <c r="Z70" s="66">
        <f t="shared" si="3"/>
        <v>-12300</v>
      </c>
      <c r="AA70" s="61"/>
      <c r="AB70" s="67"/>
      <c r="AC70" s="61"/>
      <c r="AD70" s="66"/>
      <c r="AE70" s="61"/>
      <c r="AF70" s="52">
        <f t="shared" si="4"/>
        <v>-12300</v>
      </c>
      <c r="AG70" s="46">
        <f t="shared" si="5"/>
        <v>-9425</v>
      </c>
      <c r="AH70" s="51">
        <f t="shared" si="6"/>
        <v>-21725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37300</v>
      </c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7">
        <f t="shared" si="0"/>
        <v>0</v>
      </c>
      <c r="R71" s="166">
        <v>2500</v>
      </c>
      <c r="S71" s="6">
        <f t="shared" si="1"/>
        <v>34800</v>
      </c>
      <c r="T71" s="6">
        <v>-27500</v>
      </c>
      <c r="U71" s="6">
        <f t="shared" si="2"/>
        <v>7300</v>
      </c>
      <c r="V71" s="52"/>
      <c r="W71" s="57"/>
      <c r="X71" s="46"/>
      <c r="Y71" s="61"/>
      <c r="Z71" s="66">
        <f t="shared" si="3"/>
        <v>-34800</v>
      </c>
      <c r="AA71" s="61"/>
      <c r="AB71" s="64"/>
      <c r="AC71" s="61"/>
      <c r="AD71" s="66"/>
      <c r="AE71" s="61"/>
      <c r="AF71" s="52">
        <f t="shared" si="4"/>
        <v>-34800</v>
      </c>
      <c r="AG71" s="46">
        <f t="shared" si="5"/>
        <v>-27500</v>
      </c>
      <c r="AH71" s="51">
        <f t="shared" si="6"/>
        <v>-62300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66">
        <f>SUM(C7:C72)</f>
        <v>421825</v>
      </c>
      <c r="D73" s="166">
        <f t="shared" ref="D73:V73" si="11">SUM(D7:D72)</f>
        <v>17850</v>
      </c>
      <c r="E73" s="166">
        <f t="shared" si="11"/>
        <v>0</v>
      </c>
      <c r="F73" s="166">
        <f t="shared" si="11"/>
        <v>0</v>
      </c>
      <c r="G73" s="166">
        <f t="shared" si="11"/>
        <v>0</v>
      </c>
      <c r="H73" s="27">
        <f t="shared" si="11"/>
        <v>0</v>
      </c>
      <c r="I73" s="166">
        <f t="shared" si="11"/>
        <v>0</v>
      </c>
      <c r="J73" s="166">
        <f t="shared" si="11"/>
        <v>0</v>
      </c>
      <c r="K73" s="166">
        <f t="shared" si="11"/>
        <v>7850</v>
      </c>
      <c r="L73" s="166">
        <f t="shared" si="11"/>
        <v>0</v>
      </c>
      <c r="M73" s="166">
        <f t="shared" si="11"/>
        <v>0</v>
      </c>
      <c r="N73" s="166">
        <f t="shared" si="11"/>
        <v>0</v>
      </c>
      <c r="O73" s="166">
        <f t="shared" si="11"/>
        <v>0</v>
      </c>
      <c r="P73" s="166">
        <f t="shared" si="11"/>
        <v>13635</v>
      </c>
      <c r="Q73" s="166">
        <f t="shared" si="11"/>
        <v>21485</v>
      </c>
      <c r="R73" s="166">
        <f t="shared" si="11"/>
        <v>23900</v>
      </c>
      <c r="S73" s="166">
        <f t="shared" si="11"/>
        <v>415775</v>
      </c>
      <c r="T73" s="166">
        <f t="shared" si="11"/>
        <v>-286670</v>
      </c>
      <c r="U73" s="166">
        <f t="shared" si="11"/>
        <v>129105</v>
      </c>
      <c r="V73" s="166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-415775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-415775</v>
      </c>
      <c r="AG73" s="43">
        <f t="shared" si="12"/>
        <v>-286670</v>
      </c>
      <c r="AH73" s="43">
        <f t="shared" si="12"/>
        <v>-702445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21485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19040+34230+16185+52765+57455+19000+30150+15160+25540+49550+7100+5800+25240+9300+63245+35645+52970+12050+29320+48350+57825+19950+25275+21485</f>
        <v>732630</v>
      </c>
      <c r="S74" s="211"/>
      <c r="T74" s="212">
        <f>R74+R75</f>
        <v>1776525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17850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28525+29600+39100+3100+62165+29250+69870+73500+69085+35150+67115+10100+28325+96100+8100+72500+38200+65350+45650+14350+51700+38400+50810+17850</f>
        <v>1043895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23900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76510+33035+58040+13475+68820+6900+95950+62450+44990+60525+45725+16920+92525+40300+26350+54650+41350+37870+27175+44700+85615+22280+37650+23900</f>
        <v>1117705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</f>
        <v>185600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</f>
        <v>15600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213700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27235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12100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904005</v>
      </c>
      <c r="S80" s="197"/>
      <c r="T80" s="22"/>
      <c r="U80" s="22"/>
      <c r="V80" s="2"/>
      <c r="X80" s="63">
        <f>SUM(X77:X79)</f>
        <v>39335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63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>
        <v>6000</v>
      </c>
      <c r="R109" s="36">
        <v>6000</v>
      </c>
      <c r="S109" s="36">
        <v>23</v>
      </c>
      <c r="T109" s="36">
        <v>37650</v>
      </c>
      <c r="U109" s="36">
        <v>23</v>
      </c>
      <c r="V109" s="36">
        <v>25275</v>
      </c>
      <c r="W109" s="36">
        <v>50810</v>
      </c>
      <c r="X109" s="36">
        <f t="shared" si="13"/>
        <v>76085</v>
      </c>
    </row>
    <row r="110" spans="15:26">
      <c r="O110" s="36"/>
      <c r="P110" s="36"/>
      <c r="Q110" s="36"/>
      <c r="R110" s="36">
        <v>6000</v>
      </c>
      <c r="S110" s="36">
        <v>24</v>
      </c>
      <c r="T110" s="36">
        <v>23900</v>
      </c>
      <c r="U110" s="36">
        <v>24</v>
      </c>
      <c r="V110" s="36">
        <v>21485</v>
      </c>
      <c r="W110" s="36">
        <v>17850</v>
      </c>
      <c r="X110" s="36">
        <f t="shared" si="13"/>
        <v>39335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27600</v>
      </c>
      <c r="R118" s="63">
        <f t="shared" si="14"/>
        <v>209600</v>
      </c>
      <c r="S118" s="63"/>
      <c r="T118" s="63">
        <f>SUM(T87:T117)</f>
        <v>1117705</v>
      </c>
      <c r="U118" s="63"/>
      <c r="V118" s="63">
        <f>SUM(V87:V117)</f>
        <v>732630</v>
      </c>
      <c r="W118" s="63">
        <f>SUM(W87:W117)</f>
        <v>1043895</v>
      </c>
      <c r="X118" s="36">
        <f>SUM(V118:W118)</f>
        <v>1776525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K72" sqref="K72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185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157</v>
      </c>
      <c r="P6" s="30" t="s">
        <v>183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10250</v>
      </c>
      <c r="D7" s="6"/>
      <c r="E7" s="6"/>
      <c r="F7" s="6"/>
      <c r="G7" s="6"/>
      <c r="H7" s="6"/>
      <c r="I7" s="6"/>
      <c r="J7" s="6"/>
      <c r="K7" s="6">
        <v>500</v>
      </c>
      <c r="L7" s="6"/>
      <c r="M7" s="6"/>
      <c r="N7" s="6"/>
      <c r="O7" s="6"/>
      <c r="P7" s="6"/>
      <c r="Q7" s="7">
        <f t="shared" ref="Q7:Q71" si="0">SUM(E7:P7)</f>
        <v>500</v>
      </c>
      <c r="R7" s="6"/>
      <c r="S7" s="6">
        <f>C7+D7-R7</f>
        <v>10250</v>
      </c>
      <c r="T7" s="34">
        <v>-9150</v>
      </c>
      <c r="U7" s="6">
        <f>S7+T7</f>
        <v>1100</v>
      </c>
      <c r="V7" s="52"/>
      <c r="W7" s="57"/>
      <c r="X7" s="46"/>
      <c r="Y7" s="65"/>
      <c r="Z7" s="66">
        <f>W7-S7</f>
        <v>-10250</v>
      </c>
      <c r="AA7" s="65"/>
      <c r="AB7" s="67"/>
      <c r="AC7" s="65"/>
      <c r="AD7" s="47"/>
      <c r="AE7" s="61"/>
      <c r="AF7" s="52">
        <f>SUM(Y7:AE7)</f>
        <v>-10250</v>
      </c>
      <c r="AG7" s="46">
        <f>U7+AF7</f>
        <v>-9150</v>
      </c>
      <c r="AH7" s="51">
        <f>AG7-S7</f>
        <v>-19400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33600</v>
      </c>
      <c r="D8" s="6"/>
      <c r="E8" s="6"/>
      <c r="F8" s="6"/>
      <c r="G8" s="6"/>
      <c r="H8" s="6"/>
      <c r="I8" s="6"/>
      <c r="J8" s="6"/>
      <c r="K8" s="6">
        <v>1500</v>
      </c>
      <c r="L8" s="6"/>
      <c r="M8" s="6"/>
      <c r="N8" s="6"/>
      <c r="O8" s="6"/>
      <c r="P8" s="6"/>
      <c r="Q8" s="7">
        <f t="shared" si="0"/>
        <v>1500</v>
      </c>
      <c r="R8" s="6"/>
      <c r="S8" s="6">
        <f t="shared" ref="S8:S71" si="1">C8+D8-R8</f>
        <v>33600</v>
      </c>
      <c r="T8" s="6">
        <v>-24350</v>
      </c>
      <c r="U8" s="6">
        <f t="shared" ref="U8:U71" si="2">S8+T8</f>
        <v>9250</v>
      </c>
      <c r="V8" s="52"/>
      <c r="W8" s="57"/>
      <c r="X8" s="46"/>
      <c r="Y8" s="61"/>
      <c r="Z8" s="66">
        <f t="shared" ref="Z8:Z71" si="3">W8-S8</f>
        <v>-33600</v>
      </c>
      <c r="AA8" s="61"/>
      <c r="AB8" s="67"/>
      <c r="AC8" s="61"/>
      <c r="AD8" s="66"/>
      <c r="AE8" s="61"/>
      <c r="AF8" s="52">
        <f t="shared" ref="AF8:AF71" si="4">SUM(Y8:AE8)</f>
        <v>-33600</v>
      </c>
      <c r="AG8" s="46">
        <f t="shared" ref="AG8:AG71" si="5">U8+AF8</f>
        <v>-24350</v>
      </c>
      <c r="AH8" s="51">
        <f t="shared" ref="AH8:AH71" si="6">AG8-S8</f>
        <v>-57950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>
        <v>8325</v>
      </c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8325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10650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10650</v>
      </c>
      <c r="T11" s="6">
        <v>-3750</v>
      </c>
      <c r="U11" s="6">
        <f t="shared" si="2"/>
        <v>6900</v>
      </c>
      <c r="V11" s="52"/>
      <c r="W11" s="57"/>
      <c r="X11" s="46"/>
      <c r="Y11" s="61"/>
      <c r="Z11" s="66">
        <f t="shared" si="3"/>
        <v>-10650</v>
      </c>
      <c r="AA11" s="61"/>
      <c r="AB11" s="67"/>
      <c r="AC11" s="61"/>
      <c r="AD11" s="66"/>
      <c r="AE11" s="61"/>
      <c r="AF11" s="52">
        <f t="shared" si="4"/>
        <v>-10650</v>
      </c>
      <c r="AG11" s="46">
        <f t="shared" si="5"/>
        <v>-3750</v>
      </c>
      <c r="AH11" s="51">
        <f t="shared" si="6"/>
        <v>-14400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350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350</v>
      </c>
      <c r="T12" s="6">
        <v>4700</v>
      </c>
      <c r="U12" s="6">
        <f t="shared" si="2"/>
        <v>5050</v>
      </c>
      <c r="V12" s="52"/>
      <c r="W12" s="57"/>
      <c r="X12" s="46"/>
      <c r="Y12" s="61"/>
      <c r="Z12" s="66">
        <f t="shared" si="3"/>
        <v>-350</v>
      </c>
      <c r="AA12" s="61"/>
      <c r="AB12" s="67"/>
      <c r="AC12" s="61"/>
      <c r="AD12" s="66"/>
      <c r="AE12" s="61"/>
      <c r="AF12" s="52">
        <f t="shared" si="4"/>
        <v>-350</v>
      </c>
      <c r="AG12" s="46">
        <f t="shared" si="5"/>
        <v>4700</v>
      </c>
      <c r="AH12" s="51">
        <f t="shared" si="6"/>
        <v>4350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32410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1000+6000</f>
        <v>7000</v>
      </c>
      <c r="S14" s="6">
        <f t="shared" si="1"/>
        <v>25410</v>
      </c>
      <c r="T14" s="6">
        <v>-5760</v>
      </c>
      <c r="U14" s="6">
        <f t="shared" si="2"/>
        <v>19650</v>
      </c>
      <c r="V14" s="52"/>
      <c r="W14" s="57"/>
      <c r="X14" s="46"/>
      <c r="Y14" s="61"/>
      <c r="Z14" s="66">
        <f t="shared" si="3"/>
        <v>-25410</v>
      </c>
      <c r="AA14" s="61"/>
      <c r="AB14" s="66"/>
      <c r="AC14" s="61"/>
      <c r="AD14" s="66"/>
      <c r="AE14" s="61"/>
      <c r="AF14" s="52">
        <f t="shared" si="4"/>
        <v>-25410</v>
      </c>
      <c r="AG14" s="46">
        <f t="shared" si="5"/>
        <v>-5760</v>
      </c>
      <c r="AH14" s="51">
        <f t="shared" si="6"/>
        <v>-31170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11300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11300</v>
      </c>
      <c r="T16" s="34">
        <v>-10050</v>
      </c>
      <c r="U16" s="6">
        <f t="shared" si="2"/>
        <v>1250</v>
      </c>
      <c r="V16" s="52"/>
      <c r="W16" s="57"/>
      <c r="X16" s="46"/>
      <c r="Y16" s="61"/>
      <c r="Z16" s="66">
        <f t="shared" si="3"/>
        <v>-11300</v>
      </c>
      <c r="AA16" s="61"/>
      <c r="AB16" s="67"/>
      <c r="AC16" s="61"/>
      <c r="AD16" s="47"/>
      <c r="AE16" s="61"/>
      <c r="AF16" s="52">
        <f t="shared" si="4"/>
        <v>-11300</v>
      </c>
      <c r="AG16" s="46">
        <f t="shared" si="5"/>
        <v>-10050</v>
      </c>
      <c r="AH16" s="51">
        <f t="shared" si="6"/>
        <v>-21350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10100</v>
      </c>
      <c r="D17" s="6"/>
      <c r="E17" s="6"/>
      <c r="F17" s="6"/>
      <c r="G17" s="6"/>
      <c r="H17" s="6"/>
      <c r="I17" s="6"/>
      <c r="J17" s="6"/>
      <c r="K17" s="6">
        <v>1000</v>
      </c>
      <c r="L17" s="6"/>
      <c r="M17" s="6"/>
      <c r="N17" s="6"/>
      <c r="O17" s="6"/>
      <c r="P17" s="6"/>
      <c r="Q17" s="7">
        <f t="shared" si="0"/>
        <v>1000</v>
      </c>
      <c r="R17" s="6"/>
      <c r="S17" s="6">
        <f t="shared" si="1"/>
        <v>10100</v>
      </c>
      <c r="T17" s="6">
        <v>-5000</v>
      </c>
      <c r="U17" s="6">
        <f t="shared" si="2"/>
        <v>5100</v>
      </c>
      <c r="V17" s="52"/>
      <c r="W17" s="57"/>
      <c r="X17" s="46"/>
      <c r="Y17" s="61"/>
      <c r="Z17" s="66">
        <f t="shared" si="3"/>
        <v>-10100</v>
      </c>
      <c r="AA17" s="61"/>
      <c r="AB17" s="66"/>
      <c r="AC17" s="61"/>
      <c r="AD17" s="66"/>
      <c r="AE17" s="61"/>
      <c r="AF17" s="52">
        <f t="shared" si="4"/>
        <v>-10100</v>
      </c>
      <c r="AG17" s="46">
        <f t="shared" si="5"/>
        <v>-5000</v>
      </c>
      <c r="AH17" s="51">
        <f t="shared" si="6"/>
        <v>-15100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7">
        <f t="shared" si="0"/>
        <v>0</v>
      </c>
      <c r="R22" s="166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7">
        <f t="shared" si="0"/>
        <v>0</v>
      </c>
      <c r="R24" s="166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7">
        <f t="shared" si="0"/>
        <v>0</v>
      </c>
      <c r="R25" s="166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7">
        <f t="shared" si="0"/>
        <v>0</v>
      </c>
      <c r="R26" s="166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7">
        <f t="shared" si="0"/>
        <v>0</v>
      </c>
      <c r="R27" s="166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7180</v>
      </c>
      <c r="D28" s="6"/>
      <c r="E28" s="166"/>
      <c r="F28" s="166"/>
      <c r="G28" s="166">
        <v>9900</v>
      </c>
      <c r="H28" s="166"/>
      <c r="I28" s="166"/>
      <c r="J28" s="166"/>
      <c r="K28" s="166"/>
      <c r="L28" s="166"/>
      <c r="M28" s="166"/>
      <c r="N28" s="166"/>
      <c r="O28" s="166"/>
      <c r="P28" s="166"/>
      <c r="Q28" s="7">
        <f t="shared" si="0"/>
        <v>9900</v>
      </c>
      <c r="R28" s="166"/>
      <c r="S28" s="6">
        <f t="shared" si="1"/>
        <v>7180</v>
      </c>
      <c r="T28" s="6">
        <f>-40-100</f>
        <v>-140</v>
      </c>
      <c r="U28" s="6">
        <f t="shared" si="2"/>
        <v>7040</v>
      </c>
      <c r="V28" s="52"/>
      <c r="W28" s="57"/>
      <c r="X28" s="46"/>
      <c r="Y28" s="61"/>
      <c r="Z28" s="66">
        <f t="shared" si="3"/>
        <v>-7180</v>
      </c>
      <c r="AA28" s="61"/>
      <c r="AB28" s="67"/>
      <c r="AC28" s="61"/>
      <c r="AD28" s="66"/>
      <c r="AE28" s="61"/>
      <c r="AF28" s="52">
        <f t="shared" si="4"/>
        <v>-7180</v>
      </c>
      <c r="AG28" s="46">
        <f t="shared" si="5"/>
        <v>-140</v>
      </c>
      <c r="AH28" s="51">
        <f t="shared" si="6"/>
        <v>-7320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5180</v>
      </c>
      <c r="D29" s="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7">
        <f t="shared" si="0"/>
        <v>0</v>
      </c>
      <c r="R29" s="166"/>
      <c r="S29" s="6">
        <f t="shared" si="1"/>
        <v>5180</v>
      </c>
      <c r="T29" s="6">
        <f>860+100</f>
        <v>960</v>
      </c>
      <c r="U29" s="6">
        <f t="shared" si="2"/>
        <v>6140</v>
      </c>
      <c r="V29" s="52"/>
      <c r="W29" s="57"/>
      <c r="X29" s="46"/>
      <c r="Y29" s="61"/>
      <c r="Z29" s="66">
        <f t="shared" si="3"/>
        <v>-5180</v>
      </c>
      <c r="AA29" s="61"/>
      <c r="AB29" s="67"/>
      <c r="AC29" s="61"/>
      <c r="AD29" s="66"/>
      <c r="AE29" s="61"/>
      <c r="AF29" s="52">
        <f t="shared" si="4"/>
        <v>-5180</v>
      </c>
      <c r="AG29" s="46">
        <f t="shared" si="5"/>
        <v>960</v>
      </c>
      <c r="AH29" s="51">
        <f t="shared" si="6"/>
        <v>-4220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7">
        <f t="shared" si="0"/>
        <v>0</v>
      </c>
      <c r="R30" s="166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7">
        <f t="shared" si="0"/>
        <v>0</v>
      </c>
      <c r="R31" s="166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21660</v>
      </c>
      <c r="D32" s="6"/>
      <c r="E32" s="166"/>
      <c r="F32" s="166"/>
      <c r="G32" s="166">
        <v>6000</v>
      </c>
      <c r="H32" s="166"/>
      <c r="I32" s="166"/>
      <c r="J32" s="166"/>
      <c r="K32" s="166">
        <v>1000</v>
      </c>
      <c r="L32" s="166"/>
      <c r="M32" s="166"/>
      <c r="N32" s="166"/>
      <c r="O32" s="6"/>
      <c r="P32" s="6"/>
      <c r="Q32" s="7">
        <f>SUM(E32:P32)</f>
        <v>7000</v>
      </c>
      <c r="R32" s="166"/>
      <c r="S32" s="6">
        <f t="shared" si="1"/>
        <v>21660</v>
      </c>
      <c r="T32" s="6">
        <v>-18280</v>
      </c>
      <c r="U32" s="6">
        <f t="shared" si="2"/>
        <v>3380</v>
      </c>
      <c r="V32" s="52"/>
      <c r="W32" s="57"/>
      <c r="X32" s="46"/>
      <c r="Y32" s="61"/>
      <c r="Z32" s="66">
        <f t="shared" si="3"/>
        <v>-21660</v>
      </c>
      <c r="AA32" s="61"/>
      <c r="AB32" s="67"/>
      <c r="AC32" s="61"/>
      <c r="AD32" s="66"/>
      <c r="AE32" s="61"/>
      <c r="AF32" s="52">
        <f t="shared" si="4"/>
        <v>-21660</v>
      </c>
      <c r="AG32" s="46">
        <f t="shared" si="5"/>
        <v>-18280</v>
      </c>
      <c r="AH32" s="51">
        <f t="shared" si="6"/>
        <v>-39940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7">
        <f t="shared" si="0"/>
        <v>0</v>
      </c>
      <c r="R33" s="166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1860</v>
      </c>
      <c r="D34" s="6"/>
      <c r="E34" s="166"/>
      <c r="F34" s="166"/>
      <c r="G34" s="166"/>
      <c r="H34" s="166"/>
      <c r="I34" s="166"/>
      <c r="J34" s="166"/>
      <c r="K34" s="6"/>
      <c r="L34" s="166"/>
      <c r="M34" s="166"/>
      <c r="N34" s="166"/>
      <c r="O34" s="166"/>
      <c r="P34" s="166"/>
      <c r="Q34" s="7">
        <f t="shared" si="0"/>
        <v>0</v>
      </c>
      <c r="R34" s="166"/>
      <c r="S34" s="6">
        <f t="shared" si="1"/>
        <v>1860</v>
      </c>
      <c r="T34" s="6">
        <v>2960</v>
      </c>
      <c r="U34" s="6">
        <f t="shared" si="2"/>
        <v>4820</v>
      </c>
      <c r="V34" s="52"/>
      <c r="W34" s="57"/>
      <c r="X34" s="46"/>
      <c r="Y34" s="61"/>
      <c r="Z34" s="66">
        <f t="shared" si="3"/>
        <v>-1860</v>
      </c>
      <c r="AA34" s="61"/>
      <c r="AB34" s="67"/>
      <c r="AC34" s="61"/>
      <c r="AD34" s="66"/>
      <c r="AE34" s="61"/>
      <c r="AF34" s="52">
        <f t="shared" si="4"/>
        <v>-1860</v>
      </c>
      <c r="AG34" s="46">
        <f t="shared" si="5"/>
        <v>2960</v>
      </c>
      <c r="AH34" s="51">
        <f t="shared" si="6"/>
        <v>1100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66"/>
      <c r="F35" s="166"/>
      <c r="G35" s="166"/>
      <c r="H35" s="166"/>
      <c r="I35" s="166"/>
      <c r="J35" s="166"/>
      <c r="K35" s="6"/>
      <c r="L35" s="166"/>
      <c r="M35" s="166"/>
      <c r="N35" s="166"/>
      <c r="O35" s="166"/>
      <c r="P35" s="166"/>
      <c r="Q35" s="7">
        <f t="shared" si="0"/>
        <v>0</v>
      </c>
      <c r="R35" s="166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7">
        <f t="shared" si="0"/>
        <v>0</v>
      </c>
      <c r="R36" s="166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7">
        <f t="shared" si="0"/>
        <v>0</v>
      </c>
      <c r="R37" s="166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1880</v>
      </c>
      <c r="D38" s="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7">
        <f>SUM(E38:P38)</f>
        <v>0</v>
      </c>
      <c r="R38" s="166"/>
      <c r="S38" s="6">
        <f t="shared" si="1"/>
        <v>1880</v>
      </c>
      <c r="T38" s="6">
        <v>-1340</v>
      </c>
      <c r="U38" s="6">
        <f t="shared" si="2"/>
        <v>540</v>
      </c>
      <c r="V38" s="52"/>
      <c r="W38" s="57"/>
      <c r="X38" s="46"/>
      <c r="Y38" s="61"/>
      <c r="Z38" s="66">
        <f t="shared" si="3"/>
        <v>-1880</v>
      </c>
      <c r="AA38" s="61"/>
      <c r="AB38" s="64"/>
      <c r="AC38" s="61"/>
      <c r="AD38" s="66"/>
      <c r="AE38" s="61"/>
      <c r="AF38" s="52">
        <f t="shared" si="4"/>
        <v>-1880</v>
      </c>
      <c r="AG38" s="46">
        <f t="shared" si="5"/>
        <v>-1340</v>
      </c>
      <c r="AH38" s="51">
        <f t="shared" si="6"/>
        <v>-3220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7">
        <f>SUM(E39:P39)</f>
        <v>0</v>
      </c>
      <c r="R39" s="166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11400</v>
      </c>
      <c r="D40" s="6"/>
      <c r="E40" s="166"/>
      <c r="F40" s="166"/>
      <c r="G40" s="166"/>
      <c r="H40" s="27"/>
      <c r="I40" s="166"/>
      <c r="J40" s="166"/>
      <c r="K40" s="166"/>
      <c r="L40" s="166"/>
      <c r="M40" s="166"/>
      <c r="N40" s="166"/>
      <c r="O40" s="166"/>
      <c r="P40" s="166"/>
      <c r="Q40" s="7">
        <f>SUM(E40:P40)</f>
        <v>0</v>
      </c>
      <c r="R40" s="166"/>
      <c r="S40" s="6">
        <f t="shared" si="1"/>
        <v>11400</v>
      </c>
      <c r="T40" s="6">
        <f>-10260+40</f>
        <v>-10220</v>
      </c>
      <c r="U40" s="6">
        <f t="shared" si="2"/>
        <v>1180</v>
      </c>
      <c r="V40" s="52"/>
      <c r="W40" s="57"/>
      <c r="X40" s="46"/>
      <c r="Y40" s="61"/>
      <c r="Z40" s="66">
        <f t="shared" si="3"/>
        <v>-11400</v>
      </c>
      <c r="AA40" s="61"/>
      <c r="AB40" s="67"/>
      <c r="AC40" s="61"/>
      <c r="AD40" s="66"/>
      <c r="AE40" s="61"/>
      <c r="AF40" s="52">
        <f t="shared" si="4"/>
        <v>-11400</v>
      </c>
      <c r="AG40" s="46">
        <f t="shared" si="5"/>
        <v>-10220</v>
      </c>
      <c r="AH40" s="51">
        <f t="shared" si="6"/>
        <v>-21620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7">
        <f>SUM(E41:P41)</f>
        <v>0</v>
      </c>
      <c r="R41" s="166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7">
        <f>SUM(E42:P42)</f>
        <v>0</v>
      </c>
      <c r="R42" s="166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7">
        <f t="shared" si="0"/>
        <v>0</v>
      </c>
      <c r="R44" s="166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7">
        <f t="shared" si="0"/>
        <v>0</v>
      </c>
      <c r="R45" s="166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7">
        <f t="shared" si="0"/>
        <v>0</v>
      </c>
      <c r="R46" s="166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7">
        <f t="shared" si="0"/>
        <v>0</v>
      </c>
      <c r="R47" s="166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7">
        <f t="shared" si="0"/>
        <v>0</v>
      </c>
      <c r="R48" s="166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7">
        <f t="shared" si="0"/>
        <v>0</v>
      </c>
      <c r="R49" s="166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4050</v>
      </c>
      <c r="D50" s="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7">
        <f t="shared" si="0"/>
        <v>0</v>
      </c>
      <c r="R50" s="166"/>
      <c r="S50" s="6">
        <f t="shared" si="1"/>
        <v>4050</v>
      </c>
      <c r="T50" s="6">
        <f>-12000+8615</f>
        <v>-3385</v>
      </c>
      <c r="U50" s="6">
        <f t="shared" si="2"/>
        <v>665</v>
      </c>
      <c r="V50" s="52"/>
      <c r="W50" s="57"/>
      <c r="X50" s="46"/>
      <c r="Y50" s="61"/>
      <c r="Z50" s="66">
        <f t="shared" si="3"/>
        <v>-4050</v>
      </c>
      <c r="AA50" s="61"/>
      <c r="AB50" s="64"/>
      <c r="AC50" s="61"/>
      <c r="AD50" s="66"/>
      <c r="AE50" s="61"/>
      <c r="AF50" s="52">
        <f t="shared" si="4"/>
        <v>-4050</v>
      </c>
      <c r="AG50" s="46">
        <f t="shared" si="5"/>
        <v>-3385</v>
      </c>
      <c r="AH50" s="51">
        <f t="shared" si="6"/>
        <v>-7435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7">
        <f t="shared" si="0"/>
        <v>0</v>
      </c>
      <c r="R51" s="166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7">
        <f t="shared" si="0"/>
        <v>0</v>
      </c>
      <c r="R52" s="166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13025</v>
      </c>
      <c r="D53" s="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7">
        <f t="shared" si="0"/>
        <v>0</v>
      </c>
      <c r="R53" s="166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3750</v>
      </c>
      <c r="D54" s="6"/>
      <c r="E54" s="166"/>
      <c r="F54" s="166"/>
      <c r="G54" s="166"/>
      <c r="H54" s="166"/>
      <c r="I54" s="166"/>
      <c r="J54" s="166"/>
      <c r="K54" s="166">
        <v>4875</v>
      </c>
      <c r="L54" s="166"/>
      <c r="M54" s="166"/>
      <c r="N54" s="166"/>
      <c r="O54" s="166"/>
      <c r="P54" s="166"/>
      <c r="Q54" s="7">
        <f t="shared" si="0"/>
        <v>4875</v>
      </c>
      <c r="R54" s="166"/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7">
        <f t="shared" si="0"/>
        <v>0</v>
      </c>
      <c r="R55" s="166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7">
        <f>SUM(E56:P56)</f>
        <v>0</v>
      </c>
      <c r="R56" s="166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7">
        <f t="shared" si="0"/>
        <v>0</v>
      </c>
      <c r="R61" s="166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7">
        <f t="shared" si="0"/>
        <v>0</v>
      </c>
      <c r="R62" s="165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7">
        <f t="shared" si="0"/>
        <v>0</v>
      </c>
      <c r="R63" s="165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7">
        <f t="shared" si="0"/>
        <v>0</v>
      </c>
      <c r="R64" s="165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7">
        <f t="shared" si="0"/>
        <v>0</v>
      </c>
      <c r="R65" s="165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64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7">
        <f t="shared" si="0"/>
        <v>0</v>
      </c>
      <c r="R67" s="166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7">
        <f t="shared" si="0"/>
        <v>0</v>
      </c>
      <c r="R68" s="166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30425</v>
      </c>
      <c r="D69" s="166"/>
      <c r="E69" s="166"/>
      <c r="F69" s="166"/>
      <c r="G69" s="166">
        <v>2000</v>
      </c>
      <c r="H69" s="166"/>
      <c r="I69" s="166"/>
      <c r="J69" s="166"/>
      <c r="K69" s="166"/>
      <c r="L69" s="166"/>
      <c r="M69" s="166"/>
      <c r="N69" s="166"/>
      <c r="O69" s="166"/>
      <c r="P69" s="166"/>
      <c r="Q69" s="7">
        <f t="shared" si="0"/>
        <v>2000</v>
      </c>
      <c r="R69" s="166">
        <v>1000</v>
      </c>
      <c r="S69" s="6">
        <f t="shared" si="1"/>
        <v>29425</v>
      </c>
      <c r="T69" s="6">
        <v>-16950</v>
      </c>
      <c r="U69" s="6">
        <f t="shared" si="2"/>
        <v>12475</v>
      </c>
      <c r="V69" s="52"/>
      <c r="W69" s="57"/>
      <c r="X69" s="46"/>
      <c r="Y69" s="61"/>
      <c r="Z69" s="66">
        <f t="shared" si="3"/>
        <v>-29425</v>
      </c>
      <c r="AA69" s="61"/>
      <c r="AB69" s="64"/>
      <c r="AC69" s="61"/>
      <c r="AD69" s="66"/>
      <c r="AE69" s="61"/>
      <c r="AF69" s="52">
        <f t="shared" si="4"/>
        <v>-29425</v>
      </c>
      <c r="AG69" s="46">
        <f t="shared" si="5"/>
        <v>-16950</v>
      </c>
      <c r="AH69" s="51">
        <f t="shared" si="6"/>
        <v>-46375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12300</v>
      </c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7">
        <f t="shared" si="0"/>
        <v>0</v>
      </c>
      <c r="R70" s="166"/>
      <c r="S70" s="6">
        <f t="shared" si="1"/>
        <v>12300</v>
      </c>
      <c r="T70" s="6">
        <v>-9425</v>
      </c>
      <c r="U70" s="6">
        <f t="shared" si="2"/>
        <v>2875</v>
      </c>
      <c r="V70" s="52"/>
      <c r="W70" s="57"/>
      <c r="X70" s="46"/>
      <c r="Y70" s="61"/>
      <c r="Z70" s="66">
        <f t="shared" si="3"/>
        <v>-12300</v>
      </c>
      <c r="AA70" s="61"/>
      <c r="AB70" s="67"/>
      <c r="AC70" s="61"/>
      <c r="AD70" s="66"/>
      <c r="AE70" s="61"/>
      <c r="AF70" s="52">
        <f t="shared" si="4"/>
        <v>-12300</v>
      </c>
      <c r="AG70" s="46">
        <f t="shared" si="5"/>
        <v>-9425</v>
      </c>
      <c r="AH70" s="51">
        <f t="shared" si="6"/>
        <v>-21725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34800</v>
      </c>
      <c r="D71" s="166"/>
      <c r="E71" s="166"/>
      <c r="F71" s="166"/>
      <c r="G71" s="166">
        <f>6000+2850</f>
        <v>8850</v>
      </c>
      <c r="H71" s="166"/>
      <c r="I71" s="166"/>
      <c r="J71" s="166"/>
      <c r="K71" s="166"/>
      <c r="L71" s="166"/>
      <c r="M71" s="166"/>
      <c r="N71" s="166"/>
      <c r="O71" s="166"/>
      <c r="P71" s="166"/>
      <c r="Q71" s="7">
        <f t="shared" si="0"/>
        <v>8850</v>
      </c>
      <c r="R71" s="166">
        <v>1000</v>
      </c>
      <c r="S71" s="6">
        <f t="shared" si="1"/>
        <v>33800</v>
      </c>
      <c r="T71" s="6">
        <v>-27500</v>
      </c>
      <c r="U71" s="6">
        <f t="shared" si="2"/>
        <v>6300</v>
      </c>
      <c r="V71" s="52"/>
      <c r="W71" s="57"/>
      <c r="X71" s="46"/>
      <c r="Y71" s="61"/>
      <c r="Z71" s="66">
        <f t="shared" si="3"/>
        <v>-33800</v>
      </c>
      <c r="AA71" s="61"/>
      <c r="AB71" s="64"/>
      <c r="AC71" s="61"/>
      <c r="AD71" s="66"/>
      <c r="AE71" s="61"/>
      <c r="AF71" s="52">
        <f t="shared" si="4"/>
        <v>-33800</v>
      </c>
      <c r="AG71" s="46">
        <f t="shared" si="5"/>
        <v>-27500</v>
      </c>
      <c r="AH71" s="51">
        <f t="shared" si="6"/>
        <v>-61300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66">
        <f>SUM(C7:C72)</f>
        <v>415775</v>
      </c>
      <c r="D73" s="166">
        <f t="shared" ref="D73:V73" si="11">SUM(D7:D72)</f>
        <v>0</v>
      </c>
      <c r="E73" s="166">
        <f t="shared" si="11"/>
        <v>0</v>
      </c>
      <c r="F73" s="166">
        <f t="shared" si="11"/>
        <v>0</v>
      </c>
      <c r="G73" s="166">
        <f t="shared" si="11"/>
        <v>35075</v>
      </c>
      <c r="H73" s="27">
        <f t="shared" si="11"/>
        <v>0</v>
      </c>
      <c r="I73" s="166">
        <f t="shared" si="11"/>
        <v>0</v>
      </c>
      <c r="J73" s="166">
        <f t="shared" si="11"/>
        <v>0</v>
      </c>
      <c r="K73" s="166">
        <f t="shared" si="11"/>
        <v>8875</v>
      </c>
      <c r="L73" s="166">
        <f t="shared" si="11"/>
        <v>0</v>
      </c>
      <c r="M73" s="166">
        <f t="shared" si="11"/>
        <v>0</v>
      </c>
      <c r="N73" s="166">
        <f t="shared" si="11"/>
        <v>0</v>
      </c>
      <c r="O73" s="166">
        <f t="shared" si="11"/>
        <v>0</v>
      </c>
      <c r="P73" s="166">
        <f t="shared" si="11"/>
        <v>0</v>
      </c>
      <c r="Q73" s="166">
        <f t="shared" si="11"/>
        <v>43950</v>
      </c>
      <c r="R73" s="166">
        <f t="shared" si="11"/>
        <v>9000</v>
      </c>
      <c r="S73" s="166">
        <f t="shared" si="11"/>
        <v>406775</v>
      </c>
      <c r="T73" s="166">
        <f t="shared" si="11"/>
        <v>-286670</v>
      </c>
      <c r="U73" s="166">
        <f t="shared" si="11"/>
        <v>120105</v>
      </c>
      <c r="V73" s="166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-406775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-406775</v>
      </c>
      <c r="AG73" s="43">
        <f t="shared" si="12"/>
        <v>-286670</v>
      </c>
      <c r="AH73" s="43">
        <f t="shared" si="12"/>
        <v>-693445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43950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19040+34230+16185+52765+57455+19000+30150+15160+25540+49550+7100+5800+25240+9300+63245+35645+52970+12050+29320+48350+57825+19950+25275+21485+43950</f>
        <v>776580</v>
      </c>
      <c r="S74" s="211"/>
      <c r="T74" s="212">
        <f>R74+R75</f>
        <v>1820475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28525+29600+39100+3100+62165+29250+69870+73500+69085+35150+67115+10100+28325+96100+8100+72500+38200+65350+45650+14350+51700+38400+50810+17850</f>
        <v>1043895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9000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76510+33035+58040+13475+68820+6900+95950+62450+44990+60525+45725+16920+92525+40300+26350+54650+41350+37870+27175+44700+85615+22280+37650+23900</f>
        <v>1117705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6000+6000+6000+18000+5600+12250+7000+2800+12000+6000+11700+6000+12000+10800+2950+9800+6000+12000+6000+12000+6000+2700+6000+6000+6000+18000</f>
        <v>215600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</f>
        <v>15600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243700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43950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/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874005</v>
      </c>
      <c r="S80" s="197"/>
      <c r="T80" s="22"/>
      <c r="U80" s="22"/>
      <c r="V80" s="2"/>
      <c r="X80" s="63">
        <f>SUM(X77:X79)</f>
        <v>43950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63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>
        <v>6000</v>
      </c>
      <c r="R109" s="36">
        <v>6000</v>
      </c>
      <c r="S109" s="36">
        <v>23</v>
      </c>
      <c r="T109" s="36">
        <v>37650</v>
      </c>
      <c r="U109" s="36">
        <v>23</v>
      </c>
      <c r="V109" s="36">
        <v>25275</v>
      </c>
      <c r="W109" s="36">
        <v>50810</v>
      </c>
      <c r="X109" s="36">
        <f t="shared" si="13"/>
        <v>76085</v>
      </c>
    </row>
    <row r="110" spans="15:26">
      <c r="O110" s="36"/>
      <c r="P110" s="36"/>
      <c r="Q110" s="36"/>
      <c r="R110" s="36">
        <v>6000</v>
      </c>
      <c r="S110" s="36">
        <v>24</v>
      </c>
      <c r="T110" s="36">
        <v>23900</v>
      </c>
      <c r="U110" s="36">
        <v>24</v>
      </c>
      <c r="V110" s="36">
        <v>21485</v>
      </c>
      <c r="W110" s="36">
        <v>17850</v>
      </c>
      <c r="X110" s="36">
        <f t="shared" si="13"/>
        <v>39335</v>
      </c>
    </row>
    <row r="111" spans="15:26">
      <c r="O111" s="36"/>
      <c r="P111" s="36"/>
      <c r="Q111" s="36"/>
      <c r="R111" s="36">
        <v>6000</v>
      </c>
      <c r="S111" s="36">
        <v>25</v>
      </c>
      <c r="T111" s="36"/>
      <c r="U111" s="36">
        <v>25</v>
      </c>
      <c r="V111" s="36">
        <v>43950</v>
      </c>
      <c r="W111" s="36"/>
      <c r="X111" s="36">
        <f t="shared" si="13"/>
        <v>43950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27600</v>
      </c>
      <c r="R118" s="63">
        <f t="shared" si="14"/>
        <v>215600</v>
      </c>
      <c r="S118" s="63"/>
      <c r="T118" s="63">
        <f>SUM(T87:T117)</f>
        <v>1117705</v>
      </c>
      <c r="U118" s="63"/>
      <c r="V118" s="63">
        <f>SUM(V87:V117)</f>
        <v>776580</v>
      </c>
      <c r="W118" s="63">
        <f>SUM(W87:W117)</f>
        <v>1043895</v>
      </c>
      <c r="X118" s="36">
        <f>SUM(V118:W118)</f>
        <v>1820475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1" activePane="bottomRight" state="frozen"/>
      <selection activeCell="O32" sqref="O32"/>
      <selection pane="topRight" activeCell="O32" sqref="O32"/>
      <selection pane="bottomLeft" activeCell="O32" sqref="O32"/>
      <selection pane="bottomRight" activeCell="P73" sqref="P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186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157</v>
      </c>
      <c r="P6" s="171" t="s">
        <v>187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10250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10250</v>
      </c>
      <c r="T7" s="34">
        <v>-9150</v>
      </c>
      <c r="U7" s="6">
        <f>S7+T7</f>
        <v>1100</v>
      </c>
      <c r="V7" s="52"/>
      <c r="W7" s="57"/>
      <c r="X7" s="46"/>
      <c r="Y7" s="65"/>
      <c r="Z7" s="66">
        <f>W7-S7</f>
        <v>-10250</v>
      </c>
      <c r="AA7" s="65"/>
      <c r="AB7" s="67"/>
      <c r="AC7" s="65"/>
      <c r="AD7" s="47"/>
      <c r="AE7" s="61"/>
      <c r="AF7" s="52">
        <f>SUM(Y7:AE7)</f>
        <v>-10250</v>
      </c>
      <c r="AG7" s="46">
        <f>U7+AF7</f>
        <v>-9150</v>
      </c>
      <c r="AH7" s="51">
        <f>AG7-S7</f>
        <v>-19400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33600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/>
      <c r="S8" s="6">
        <f t="shared" ref="S8:S71" si="1">C8+D8-R8</f>
        <v>33600</v>
      </c>
      <c r="T8" s="6">
        <v>-24350</v>
      </c>
      <c r="U8" s="6">
        <f t="shared" ref="U8:U71" si="2">S8+T8</f>
        <v>9250</v>
      </c>
      <c r="V8" s="52"/>
      <c r="W8" s="57"/>
      <c r="X8" s="46"/>
      <c r="Y8" s="61"/>
      <c r="Z8" s="66">
        <f t="shared" ref="Z8:Z71" si="3">W8-S8</f>
        <v>-33600</v>
      </c>
      <c r="AA8" s="61"/>
      <c r="AB8" s="67"/>
      <c r="AC8" s="61"/>
      <c r="AD8" s="66"/>
      <c r="AE8" s="61"/>
      <c r="AF8" s="52">
        <f t="shared" ref="AF8:AF71" si="4">SUM(Y8:AE8)</f>
        <v>-33600</v>
      </c>
      <c r="AG8" s="46">
        <f t="shared" ref="AG8:AG71" si="5">U8+AF8</f>
        <v>-24350</v>
      </c>
      <c r="AH8" s="51">
        <f t="shared" ref="AH8:AH71" si="6">AG8-S8</f>
        <v>-57950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10650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1000+1500+750</f>
        <v>3250</v>
      </c>
      <c r="S11" s="6">
        <f t="shared" si="1"/>
        <v>7400</v>
      </c>
      <c r="T11" s="6">
        <v>-3750</v>
      </c>
      <c r="U11" s="6">
        <f t="shared" si="2"/>
        <v>3650</v>
      </c>
      <c r="V11" s="52"/>
      <c r="W11" s="57"/>
      <c r="X11" s="46"/>
      <c r="Y11" s="61"/>
      <c r="Z11" s="66">
        <f t="shared" si="3"/>
        <v>-7400</v>
      </c>
      <c r="AA11" s="61"/>
      <c r="AB11" s="67"/>
      <c r="AC11" s="61"/>
      <c r="AD11" s="66"/>
      <c r="AE11" s="61"/>
      <c r="AF11" s="52">
        <f t="shared" si="4"/>
        <v>-7400</v>
      </c>
      <c r="AG11" s="46">
        <f t="shared" si="5"/>
        <v>-3750</v>
      </c>
      <c r="AH11" s="51">
        <f t="shared" si="6"/>
        <v>-11150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350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250+250</f>
        <v>500</v>
      </c>
      <c r="S12" s="6">
        <f t="shared" si="1"/>
        <v>-150</v>
      </c>
      <c r="T12" s="6">
        <v>4700</v>
      </c>
      <c r="U12" s="6">
        <f t="shared" si="2"/>
        <v>4550</v>
      </c>
      <c r="V12" s="52"/>
      <c r="W12" s="57"/>
      <c r="X12" s="46"/>
      <c r="Y12" s="61"/>
      <c r="Z12" s="66">
        <f t="shared" si="3"/>
        <v>150</v>
      </c>
      <c r="AA12" s="61"/>
      <c r="AB12" s="67"/>
      <c r="AC12" s="61"/>
      <c r="AD12" s="66"/>
      <c r="AE12" s="61"/>
      <c r="AF12" s="52">
        <f t="shared" si="4"/>
        <v>150</v>
      </c>
      <c r="AG12" s="46">
        <f t="shared" si="5"/>
        <v>4700</v>
      </c>
      <c r="AH12" s="51">
        <f t="shared" si="6"/>
        <v>4850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25410</v>
      </c>
      <c r="D14" s="6">
        <v>2050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1000+5000+1750+1000+4500+800</f>
        <v>14050</v>
      </c>
      <c r="S14" s="6">
        <f t="shared" si="1"/>
        <v>13410</v>
      </c>
      <c r="T14" s="6">
        <v>-5760</v>
      </c>
      <c r="U14" s="6">
        <f t="shared" si="2"/>
        <v>7650</v>
      </c>
      <c r="V14" s="52"/>
      <c r="W14" s="57"/>
      <c r="X14" s="46"/>
      <c r="Y14" s="61"/>
      <c r="Z14" s="66">
        <f t="shared" si="3"/>
        <v>-13410</v>
      </c>
      <c r="AA14" s="61"/>
      <c r="AB14" s="66"/>
      <c r="AC14" s="61"/>
      <c r="AD14" s="66"/>
      <c r="AE14" s="61"/>
      <c r="AF14" s="52">
        <f t="shared" si="4"/>
        <v>-13410</v>
      </c>
      <c r="AG14" s="46">
        <f t="shared" si="5"/>
        <v>-5760</v>
      </c>
      <c r="AH14" s="51">
        <f t="shared" si="6"/>
        <v>-19170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11300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11300</v>
      </c>
      <c r="T16" s="34">
        <v>-10050</v>
      </c>
      <c r="U16" s="6">
        <f t="shared" si="2"/>
        <v>1250</v>
      </c>
      <c r="V16" s="52"/>
      <c r="W16" s="57"/>
      <c r="X16" s="46"/>
      <c r="Y16" s="61"/>
      <c r="Z16" s="66">
        <f t="shared" si="3"/>
        <v>-11300</v>
      </c>
      <c r="AA16" s="61"/>
      <c r="AB16" s="67"/>
      <c r="AC16" s="61"/>
      <c r="AD16" s="47"/>
      <c r="AE16" s="61"/>
      <c r="AF16" s="52">
        <f t="shared" si="4"/>
        <v>-11300</v>
      </c>
      <c r="AG16" s="46">
        <f t="shared" si="5"/>
        <v>-10050</v>
      </c>
      <c r="AH16" s="51">
        <f t="shared" si="6"/>
        <v>-21350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10100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10100</v>
      </c>
      <c r="T17" s="6">
        <v>-5000</v>
      </c>
      <c r="U17" s="6">
        <f t="shared" si="2"/>
        <v>5100</v>
      </c>
      <c r="V17" s="52"/>
      <c r="W17" s="57"/>
      <c r="X17" s="46"/>
      <c r="Y17" s="61"/>
      <c r="Z17" s="66">
        <f t="shared" si="3"/>
        <v>-10100</v>
      </c>
      <c r="AA17" s="61"/>
      <c r="AB17" s="66"/>
      <c r="AC17" s="61"/>
      <c r="AD17" s="66"/>
      <c r="AE17" s="61"/>
      <c r="AF17" s="52">
        <f t="shared" si="4"/>
        <v>-10100</v>
      </c>
      <c r="AG17" s="46">
        <f t="shared" si="5"/>
        <v>-5000</v>
      </c>
      <c r="AH17" s="51">
        <f t="shared" si="6"/>
        <v>-15100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7">
        <f t="shared" si="0"/>
        <v>0</v>
      </c>
      <c r="R22" s="168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7">
        <f t="shared" si="0"/>
        <v>0</v>
      </c>
      <c r="R24" s="168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7">
        <f t="shared" si="0"/>
        <v>0</v>
      </c>
      <c r="R25" s="168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7">
        <f t="shared" si="0"/>
        <v>0</v>
      </c>
      <c r="R26" s="168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>
        <v>6035</v>
      </c>
      <c r="Q27" s="7">
        <f t="shared" si="0"/>
        <v>6035</v>
      </c>
      <c r="R27" s="168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7180</v>
      </c>
      <c r="D28" s="6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7">
        <f t="shared" si="0"/>
        <v>0</v>
      </c>
      <c r="R28" s="168"/>
      <c r="S28" s="6">
        <f t="shared" si="1"/>
        <v>7180</v>
      </c>
      <c r="T28" s="6">
        <f>-40-100</f>
        <v>-140</v>
      </c>
      <c r="U28" s="6">
        <f t="shared" si="2"/>
        <v>7040</v>
      </c>
      <c r="V28" s="52"/>
      <c r="W28" s="57"/>
      <c r="X28" s="46"/>
      <c r="Y28" s="61"/>
      <c r="Z28" s="66">
        <f t="shared" si="3"/>
        <v>-7180</v>
      </c>
      <c r="AA28" s="61"/>
      <c r="AB28" s="67"/>
      <c r="AC28" s="61"/>
      <c r="AD28" s="66"/>
      <c r="AE28" s="61"/>
      <c r="AF28" s="52">
        <f t="shared" si="4"/>
        <v>-7180</v>
      </c>
      <c r="AG28" s="46">
        <f t="shared" si="5"/>
        <v>-140</v>
      </c>
      <c r="AH28" s="51">
        <f t="shared" si="6"/>
        <v>-7320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5180</v>
      </c>
      <c r="D29" s="6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7">
        <f t="shared" si="0"/>
        <v>0</v>
      </c>
      <c r="R29" s="168"/>
      <c r="S29" s="6">
        <f t="shared" si="1"/>
        <v>5180</v>
      </c>
      <c r="T29" s="6">
        <f>860+100</f>
        <v>960</v>
      </c>
      <c r="U29" s="6">
        <f t="shared" si="2"/>
        <v>6140</v>
      </c>
      <c r="V29" s="52"/>
      <c r="W29" s="57"/>
      <c r="X29" s="46"/>
      <c r="Y29" s="61"/>
      <c r="Z29" s="66">
        <f t="shared" si="3"/>
        <v>-5180</v>
      </c>
      <c r="AA29" s="61"/>
      <c r="AB29" s="67"/>
      <c r="AC29" s="61"/>
      <c r="AD29" s="66"/>
      <c r="AE29" s="61"/>
      <c r="AF29" s="52">
        <f t="shared" si="4"/>
        <v>-5180</v>
      </c>
      <c r="AG29" s="46">
        <f t="shared" si="5"/>
        <v>960</v>
      </c>
      <c r="AH29" s="51">
        <f t="shared" si="6"/>
        <v>-4220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7">
        <f t="shared" si="0"/>
        <v>0</v>
      </c>
      <c r="R30" s="168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7">
        <f t="shared" si="0"/>
        <v>0</v>
      </c>
      <c r="R31" s="168"/>
      <c r="S31" s="6">
        <f t="shared" si="1"/>
        <v>17280</v>
      </c>
      <c r="T31" s="6">
        <v>-17180</v>
      </c>
      <c r="U31" s="6">
        <f t="shared" si="2"/>
        <v>100</v>
      </c>
      <c r="V31" s="52"/>
      <c r="W31" s="57"/>
      <c r="X31" s="46"/>
      <c r="Y31" s="61"/>
      <c r="Z31" s="66">
        <f t="shared" si="3"/>
        <v>-17280</v>
      </c>
      <c r="AA31" s="61"/>
      <c r="AB31" s="64"/>
      <c r="AC31" s="61"/>
      <c r="AD31" s="66"/>
      <c r="AE31" s="61"/>
      <c r="AF31" s="52">
        <f t="shared" si="4"/>
        <v>-17280</v>
      </c>
      <c r="AG31" s="46">
        <f t="shared" si="5"/>
        <v>-17180</v>
      </c>
      <c r="AH31" s="51">
        <f t="shared" si="6"/>
        <v>-34460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21660</v>
      </c>
      <c r="D32" s="6"/>
      <c r="E32" s="168"/>
      <c r="F32" s="168"/>
      <c r="G32" s="168"/>
      <c r="H32" s="168"/>
      <c r="I32" s="168"/>
      <c r="J32" s="168"/>
      <c r="K32" s="168">
        <v>12000</v>
      </c>
      <c r="L32" s="168"/>
      <c r="M32" s="168"/>
      <c r="N32" s="168"/>
      <c r="O32" s="6"/>
      <c r="P32" s="6"/>
      <c r="Q32" s="7">
        <f>SUM(E32:P32)</f>
        <v>12000</v>
      </c>
      <c r="R32" s="168"/>
      <c r="S32" s="6">
        <f t="shared" si="1"/>
        <v>21660</v>
      </c>
      <c r="T32" s="6">
        <v>-18280</v>
      </c>
      <c r="U32" s="6">
        <f t="shared" si="2"/>
        <v>3380</v>
      </c>
      <c r="V32" s="52"/>
      <c r="W32" s="57"/>
      <c r="X32" s="46"/>
      <c r="Y32" s="61"/>
      <c r="Z32" s="66">
        <f t="shared" si="3"/>
        <v>-21660</v>
      </c>
      <c r="AA32" s="61"/>
      <c r="AB32" s="67"/>
      <c r="AC32" s="61"/>
      <c r="AD32" s="66"/>
      <c r="AE32" s="61"/>
      <c r="AF32" s="52">
        <f t="shared" si="4"/>
        <v>-21660</v>
      </c>
      <c r="AG32" s="46">
        <f t="shared" si="5"/>
        <v>-18280</v>
      </c>
      <c r="AH32" s="51">
        <f t="shared" si="6"/>
        <v>-39940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7">
        <f t="shared" si="0"/>
        <v>0</v>
      </c>
      <c r="R33" s="168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1860</v>
      </c>
      <c r="D34" s="6"/>
      <c r="E34" s="168"/>
      <c r="F34" s="168"/>
      <c r="G34" s="168"/>
      <c r="H34" s="168"/>
      <c r="I34" s="168"/>
      <c r="J34" s="168"/>
      <c r="K34" s="6"/>
      <c r="L34" s="168"/>
      <c r="M34" s="168"/>
      <c r="N34" s="168"/>
      <c r="O34" s="168"/>
      <c r="P34" s="168"/>
      <c r="Q34" s="7">
        <f t="shared" si="0"/>
        <v>0</v>
      </c>
      <c r="R34" s="168"/>
      <c r="S34" s="6">
        <f t="shared" si="1"/>
        <v>1860</v>
      </c>
      <c r="T34" s="6">
        <v>2960</v>
      </c>
      <c r="U34" s="6">
        <f t="shared" si="2"/>
        <v>4820</v>
      </c>
      <c r="V34" s="52"/>
      <c r="W34" s="57"/>
      <c r="X34" s="46"/>
      <c r="Y34" s="61"/>
      <c r="Z34" s="66">
        <f t="shared" si="3"/>
        <v>-1860</v>
      </c>
      <c r="AA34" s="61"/>
      <c r="AB34" s="67"/>
      <c r="AC34" s="61"/>
      <c r="AD34" s="66"/>
      <c r="AE34" s="61"/>
      <c r="AF34" s="52">
        <f t="shared" si="4"/>
        <v>-1860</v>
      </c>
      <c r="AG34" s="46">
        <f t="shared" si="5"/>
        <v>2960</v>
      </c>
      <c r="AH34" s="51">
        <f t="shared" si="6"/>
        <v>1100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68"/>
      <c r="F35" s="168"/>
      <c r="G35" s="168"/>
      <c r="H35" s="168"/>
      <c r="I35" s="168"/>
      <c r="J35" s="168"/>
      <c r="K35" s="6"/>
      <c r="L35" s="168"/>
      <c r="M35" s="168"/>
      <c r="N35" s="168"/>
      <c r="O35" s="168"/>
      <c r="P35" s="168"/>
      <c r="Q35" s="7">
        <f t="shared" si="0"/>
        <v>0</v>
      </c>
      <c r="R35" s="168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7">
        <f t="shared" si="0"/>
        <v>0</v>
      </c>
      <c r="R36" s="168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7">
        <f t="shared" si="0"/>
        <v>0</v>
      </c>
      <c r="R37" s="168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1880</v>
      </c>
      <c r="D38" s="6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7">
        <f>SUM(E38:P38)</f>
        <v>0</v>
      </c>
      <c r="R38" s="168"/>
      <c r="S38" s="6">
        <f t="shared" si="1"/>
        <v>1880</v>
      </c>
      <c r="T38" s="6">
        <v>-1340</v>
      </c>
      <c r="U38" s="6">
        <f t="shared" si="2"/>
        <v>540</v>
      </c>
      <c r="V38" s="52"/>
      <c r="W38" s="57"/>
      <c r="X38" s="46"/>
      <c r="Y38" s="61"/>
      <c r="Z38" s="66">
        <f t="shared" si="3"/>
        <v>-1880</v>
      </c>
      <c r="AA38" s="61"/>
      <c r="AB38" s="64"/>
      <c r="AC38" s="61"/>
      <c r="AD38" s="66"/>
      <c r="AE38" s="61"/>
      <c r="AF38" s="52">
        <f t="shared" si="4"/>
        <v>-1880</v>
      </c>
      <c r="AG38" s="46">
        <f t="shared" si="5"/>
        <v>-1340</v>
      </c>
      <c r="AH38" s="51">
        <f t="shared" si="6"/>
        <v>-3220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7">
        <f>SUM(E39:P39)</f>
        <v>0</v>
      </c>
      <c r="R39" s="168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11400</v>
      </c>
      <c r="D40" s="6"/>
      <c r="E40" s="168"/>
      <c r="F40" s="168"/>
      <c r="G40" s="168"/>
      <c r="H40" s="27"/>
      <c r="I40" s="168"/>
      <c r="J40" s="168"/>
      <c r="K40" s="168"/>
      <c r="L40" s="168"/>
      <c r="M40" s="168"/>
      <c r="N40" s="168"/>
      <c r="O40" s="168"/>
      <c r="P40" s="168"/>
      <c r="Q40" s="7">
        <f>SUM(E40:P40)</f>
        <v>0</v>
      </c>
      <c r="R40" s="168"/>
      <c r="S40" s="6">
        <f t="shared" si="1"/>
        <v>11400</v>
      </c>
      <c r="T40" s="6">
        <f>-10260+40</f>
        <v>-10220</v>
      </c>
      <c r="U40" s="6">
        <f t="shared" si="2"/>
        <v>1180</v>
      </c>
      <c r="V40" s="52"/>
      <c r="W40" s="57"/>
      <c r="X40" s="46"/>
      <c r="Y40" s="61"/>
      <c r="Z40" s="66">
        <f t="shared" si="3"/>
        <v>-11400</v>
      </c>
      <c r="AA40" s="61"/>
      <c r="AB40" s="67"/>
      <c r="AC40" s="61"/>
      <c r="AD40" s="66"/>
      <c r="AE40" s="61"/>
      <c r="AF40" s="52">
        <f t="shared" si="4"/>
        <v>-11400</v>
      </c>
      <c r="AG40" s="46">
        <f t="shared" si="5"/>
        <v>-10220</v>
      </c>
      <c r="AH40" s="51">
        <f t="shared" si="6"/>
        <v>-21620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7">
        <f>SUM(E41:P41)</f>
        <v>0</v>
      </c>
      <c r="R41" s="168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7">
        <f>SUM(E42:P42)</f>
        <v>0</v>
      </c>
      <c r="R42" s="168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7">
        <f t="shared" si="0"/>
        <v>0</v>
      </c>
      <c r="R44" s="168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7">
        <f t="shared" si="0"/>
        <v>0</v>
      </c>
      <c r="R45" s="168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7">
        <f t="shared" si="0"/>
        <v>0</v>
      </c>
      <c r="R46" s="168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7">
        <f t="shared" si="0"/>
        <v>0</v>
      </c>
      <c r="R47" s="168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7">
        <f t="shared" si="0"/>
        <v>0</v>
      </c>
      <c r="R48" s="168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7">
        <f t="shared" si="0"/>
        <v>0</v>
      </c>
      <c r="R49" s="168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4050</v>
      </c>
      <c r="D50" s="6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7">
        <f t="shared" si="0"/>
        <v>0</v>
      </c>
      <c r="R50" s="168"/>
      <c r="S50" s="6">
        <f t="shared" si="1"/>
        <v>4050</v>
      </c>
      <c r="T50" s="6">
        <f>-12000+8615</f>
        <v>-3385</v>
      </c>
      <c r="U50" s="6">
        <f t="shared" si="2"/>
        <v>665</v>
      </c>
      <c r="V50" s="52"/>
      <c r="W50" s="57"/>
      <c r="X50" s="46"/>
      <c r="Y50" s="61"/>
      <c r="Z50" s="66">
        <f t="shared" si="3"/>
        <v>-4050</v>
      </c>
      <c r="AA50" s="61"/>
      <c r="AB50" s="64"/>
      <c r="AC50" s="61"/>
      <c r="AD50" s="66"/>
      <c r="AE50" s="61"/>
      <c r="AF50" s="52">
        <f t="shared" si="4"/>
        <v>-4050</v>
      </c>
      <c r="AG50" s="46">
        <f t="shared" si="5"/>
        <v>-3385</v>
      </c>
      <c r="AH50" s="51">
        <f t="shared" si="6"/>
        <v>-7435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7">
        <f t="shared" si="0"/>
        <v>0</v>
      </c>
      <c r="R51" s="168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7">
        <f t="shared" si="0"/>
        <v>0</v>
      </c>
      <c r="R52" s="168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13025</v>
      </c>
      <c r="D53" s="6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7">
        <f t="shared" si="0"/>
        <v>0</v>
      </c>
      <c r="R53" s="168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3750</v>
      </c>
      <c r="D54" s="6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7">
        <f t="shared" si="0"/>
        <v>0</v>
      </c>
      <c r="R54" s="168"/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7">
        <f t="shared" si="0"/>
        <v>0</v>
      </c>
      <c r="R55" s="168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7">
        <f>SUM(E56:P56)</f>
        <v>0</v>
      </c>
      <c r="R56" s="168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7">
        <f t="shared" si="0"/>
        <v>0</v>
      </c>
      <c r="R61" s="168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7">
        <f t="shared" si="0"/>
        <v>0</v>
      </c>
      <c r="R62" s="167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7">
        <f t="shared" si="0"/>
        <v>0</v>
      </c>
      <c r="R63" s="167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7">
        <f t="shared" si="0"/>
        <v>0</v>
      </c>
      <c r="R64" s="167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7">
        <f t="shared" si="0"/>
        <v>0</v>
      </c>
      <c r="R65" s="167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69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7">
        <f t="shared" si="0"/>
        <v>0</v>
      </c>
      <c r="R67" s="168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7">
        <f t="shared" si="0"/>
        <v>0</v>
      </c>
      <c r="R68" s="168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29425</v>
      </c>
      <c r="D69" s="168">
        <v>1000</v>
      </c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7">
        <f t="shared" si="0"/>
        <v>0</v>
      </c>
      <c r="R69" s="168">
        <v>2100</v>
      </c>
      <c r="S69" s="6">
        <f t="shared" si="1"/>
        <v>28325</v>
      </c>
      <c r="T69" s="6">
        <v>-16950</v>
      </c>
      <c r="U69" s="6">
        <f t="shared" si="2"/>
        <v>11375</v>
      </c>
      <c r="V69" s="52"/>
      <c r="W69" s="57"/>
      <c r="X69" s="46"/>
      <c r="Y69" s="61"/>
      <c r="Z69" s="66">
        <f t="shared" si="3"/>
        <v>-28325</v>
      </c>
      <c r="AA69" s="61"/>
      <c r="AB69" s="64"/>
      <c r="AC69" s="61"/>
      <c r="AD69" s="66"/>
      <c r="AE69" s="61"/>
      <c r="AF69" s="52">
        <f t="shared" si="4"/>
        <v>-28325</v>
      </c>
      <c r="AG69" s="46">
        <f t="shared" si="5"/>
        <v>-16950</v>
      </c>
      <c r="AH69" s="51">
        <f t="shared" si="6"/>
        <v>-45275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12300</v>
      </c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7">
        <f t="shared" si="0"/>
        <v>0</v>
      </c>
      <c r="R70" s="168"/>
      <c r="S70" s="6">
        <f t="shared" si="1"/>
        <v>12300</v>
      </c>
      <c r="T70" s="6">
        <v>-9425</v>
      </c>
      <c r="U70" s="6">
        <f t="shared" si="2"/>
        <v>2875</v>
      </c>
      <c r="V70" s="52"/>
      <c r="W70" s="57"/>
      <c r="X70" s="46"/>
      <c r="Y70" s="61"/>
      <c r="Z70" s="66">
        <f t="shared" si="3"/>
        <v>-12300</v>
      </c>
      <c r="AA70" s="61"/>
      <c r="AB70" s="67"/>
      <c r="AC70" s="61"/>
      <c r="AD70" s="66"/>
      <c r="AE70" s="61"/>
      <c r="AF70" s="52">
        <f t="shared" si="4"/>
        <v>-12300</v>
      </c>
      <c r="AG70" s="46">
        <f t="shared" si="5"/>
        <v>-9425</v>
      </c>
      <c r="AH70" s="51">
        <f t="shared" si="6"/>
        <v>-21725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33800</v>
      </c>
      <c r="D71" s="168">
        <f>10300+3000+12000</f>
        <v>25300</v>
      </c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7">
        <f t="shared" si="0"/>
        <v>0</v>
      </c>
      <c r="R71" s="168">
        <f>250+8000</f>
        <v>8250</v>
      </c>
      <c r="S71" s="6">
        <f t="shared" si="1"/>
        <v>50850</v>
      </c>
      <c r="T71" s="6">
        <v>-27500</v>
      </c>
      <c r="U71" s="6">
        <f t="shared" si="2"/>
        <v>23350</v>
      </c>
      <c r="V71" s="52"/>
      <c r="W71" s="57"/>
      <c r="X71" s="46"/>
      <c r="Y71" s="61"/>
      <c r="Z71" s="66">
        <f t="shared" si="3"/>
        <v>-50850</v>
      </c>
      <c r="AA71" s="61"/>
      <c r="AB71" s="64"/>
      <c r="AC71" s="61"/>
      <c r="AD71" s="66"/>
      <c r="AE71" s="61"/>
      <c r="AF71" s="52">
        <f t="shared" si="4"/>
        <v>-50850</v>
      </c>
      <c r="AG71" s="46">
        <f t="shared" si="5"/>
        <v>-27500</v>
      </c>
      <c r="AH71" s="51">
        <f t="shared" si="6"/>
        <v>-78350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68">
        <f>SUM(C7:C72)</f>
        <v>406775</v>
      </c>
      <c r="D73" s="168">
        <f t="shared" ref="D73:V73" si="11">SUM(D7:D72)</f>
        <v>28350</v>
      </c>
      <c r="E73" s="168">
        <f t="shared" si="11"/>
        <v>0</v>
      </c>
      <c r="F73" s="168">
        <f t="shared" si="11"/>
        <v>0</v>
      </c>
      <c r="G73" s="168">
        <f t="shared" si="11"/>
        <v>0</v>
      </c>
      <c r="H73" s="27">
        <f t="shared" si="11"/>
        <v>0</v>
      </c>
      <c r="I73" s="168">
        <f t="shared" si="11"/>
        <v>0</v>
      </c>
      <c r="J73" s="168">
        <f t="shared" si="11"/>
        <v>0</v>
      </c>
      <c r="K73" s="168">
        <f t="shared" si="11"/>
        <v>12000</v>
      </c>
      <c r="L73" s="168">
        <f t="shared" si="11"/>
        <v>0</v>
      </c>
      <c r="M73" s="168">
        <f t="shared" si="11"/>
        <v>0</v>
      </c>
      <c r="N73" s="168">
        <f t="shared" si="11"/>
        <v>0</v>
      </c>
      <c r="O73" s="168">
        <f t="shared" si="11"/>
        <v>0</v>
      </c>
      <c r="P73" s="168">
        <f t="shared" si="11"/>
        <v>6035</v>
      </c>
      <c r="Q73" s="168">
        <f t="shared" si="11"/>
        <v>18035</v>
      </c>
      <c r="R73" s="168">
        <f t="shared" si="11"/>
        <v>28150</v>
      </c>
      <c r="S73" s="168">
        <f t="shared" si="11"/>
        <v>406975</v>
      </c>
      <c r="T73" s="168">
        <f t="shared" si="11"/>
        <v>-286670</v>
      </c>
      <c r="U73" s="168">
        <f t="shared" si="11"/>
        <v>120305</v>
      </c>
      <c r="V73" s="168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-406975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-406975</v>
      </c>
      <c r="AG73" s="43">
        <f t="shared" si="12"/>
        <v>-286670</v>
      </c>
      <c r="AH73" s="43">
        <f t="shared" si="12"/>
        <v>-693645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18035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19040+34230+16185+52765+57455+19000+30150+15160+25540+49550+7100+5800+25240+9300+63245+35645+52970+12050+29320+48350+57825+19950+25275+21485+43950+18035</f>
        <v>794615</v>
      </c>
      <c r="S74" s="211"/>
      <c r="T74" s="212">
        <f>R74+R75</f>
        <v>1866860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28350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28525+29600+39100+3100+62165+29250+69870+73500+69085+35150+67115+10100+28325+96100+8100+72500+38200+65350+45650+14350+51700+38400+50810+17850+28350</f>
        <v>1072245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28150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76510+33035+58040+13475+68820+6900+95950+62450+44990+60525+45725+16920+92525+40300+26350+54650+41350+37870+27175+44700+85615+22280+37650+23900+28150</f>
        <v>1145855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6000+6000+6000+18000+5600+12250+7000+2800+12000+6000+11700+6000+12000+10800+2950+9800+6000+12000+6000+12000+6000+2700+6000+6000+6000+18000</f>
        <v>215600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</f>
        <v>15600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243700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46385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/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902155</v>
      </c>
      <c r="S80" s="197"/>
      <c r="T80" s="22"/>
      <c r="U80" s="22"/>
      <c r="V80" s="2"/>
      <c r="X80" s="63">
        <f>SUM(X77:X79)</f>
        <v>46385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70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>
        <v>6000</v>
      </c>
      <c r="R109" s="36">
        <v>6000</v>
      </c>
      <c r="S109" s="36">
        <v>23</v>
      </c>
      <c r="T109" s="36">
        <v>37650</v>
      </c>
      <c r="U109" s="36">
        <v>23</v>
      </c>
      <c r="V109" s="36">
        <v>25275</v>
      </c>
      <c r="W109" s="36">
        <v>50810</v>
      </c>
      <c r="X109" s="36">
        <f t="shared" si="13"/>
        <v>76085</v>
      </c>
    </row>
    <row r="110" spans="15:26">
      <c r="O110" s="36"/>
      <c r="P110" s="36"/>
      <c r="Q110" s="36"/>
      <c r="R110" s="36">
        <v>6000</v>
      </c>
      <c r="S110" s="36">
        <v>24</v>
      </c>
      <c r="T110" s="36">
        <v>23900</v>
      </c>
      <c r="U110" s="36">
        <v>24</v>
      </c>
      <c r="V110" s="36">
        <v>21485</v>
      </c>
      <c r="W110" s="36">
        <v>17850</v>
      </c>
      <c r="X110" s="36">
        <f t="shared" si="13"/>
        <v>39335</v>
      </c>
    </row>
    <row r="111" spans="15:26">
      <c r="O111" s="36"/>
      <c r="P111" s="36"/>
      <c r="Q111" s="36"/>
      <c r="R111" s="36">
        <v>6000</v>
      </c>
      <c r="S111" s="36">
        <v>25</v>
      </c>
      <c r="T111" s="36"/>
      <c r="U111" s="36">
        <v>25</v>
      </c>
      <c r="V111" s="36">
        <v>43950</v>
      </c>
      <c r="W111" s="36"/>
      <c r="X111" s="36">
        <f t="shared" si="13"/>
        <v>43950</v>
      </c>
    </row>
    <row r="112" spans="15:26">
      <c r="O112" s="36"/>
      <c r="P112" s="36"/>
      <c r="Q112" s="36"/>
      <c r="R112" s="36">
        <v>12000</v>
      </c>
      <c r="S112" s="36">
        <v>26</v>
      </c>
      <c r="T112" s="36">
        <v>28150</v>
      </c>
      <c r="U112" s="36">
        <v>26</v>
      </c>
      <c r="V112" s="36">
        <v>18035</v>
      </c>
      <c r="W112" s="36">
        <v>28350</v>
      </c>
      <c r="X112" s="36">
        <f t="shared" si="13"/>
        <v>46385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27600</v>
      </c>
      <c r="R118" s="63">
        <f t="shared" si="14"/>
        <v>227600</v>
      </c>
      <c r="S118" s="63"/>
      <c r="T118" s="63">
        <f>SUM(T87:T117)</f>
        <v>1145855</v>
      </c>
      <c r="U118" s="63"/>
      <c r="V118" s="63">
        <f>SUM(V87:V117)</f>
        <v>794615</v>
      </c>
      <c r="W118" s="63">
        <f>SUM(W87:W117)</f>
        <v>1072245</v>
      </c>
      <c r="X118" s="36">
        <f>SUM(V118:W118)</f>
        <v>1866860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0" activePane="bottomRight" state="frozen"/>
      <selection activeCell="O32" sqref="O32"/>
      <selection pane="topRight" activeCell="O32" sqref="O32"/>
      <selection pane="bottomLeft" activeCell="O32" sqref="O32"/>
      <selection pane="bottomRight" activeCell="G73" sqref="G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188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157</v>
      </c>
      <c r="P6" s="171" t="s">
        <v>187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10250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10250</v>
      </c>
      <c r="T7" s="34">
        <v>-9150</v>
      </c>
      <c r="U7" s="6">
        <f>S7+T7</f>
        <v>1100</v>
      </c>
      <c r="V7" s="52"/>
      <c r="W7" s="57"/>
      <c r="X7" s="46"/>
      <c r="Y7" s="65"/>
      <c r="Z7" s="66">
        <f>W7-S7</f>
        <v>-10250</v>
      </c>
      <c r="AA7" s="65"/>
      <c r="AB7" s="67"/>
      <c r="AC7" s="65"/>
      <c r="AD7" s="47"/>
      <c r="AE7" s="61"/>
      <c r="AF7" s="52">
        <f>SUM(Y7:AE7)</f>
        <v>-10250</v>
      </c>
      <c r="AG7" s="46">
        <f>U7+AF7</f>
        <v>-9150</v>
      </c>
      <c r="AH7" s="51">
        <f>AG7-S7</f>
        <v>-19400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33600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/>
      <c r="S8" s="6">
        <f t="shared" ref="S8:S71" si="1">C8+D8-R8</f>
        <v>33600</v>
      </c>
      <c r="T8" s="6">
        <v>-24350</v>
      </c>
      <c r="U8" s="6">
        <f t="shared" ref="U8:U71" si="2">S8+T8</f>
        <v>9250</v>
      </c>
      <c r="V8" s="52"/>
      <c r="W8" s="57"/>
      <c r="X8" s="46"/>
      <c r="Y8" s="61"/>
      <c r="Z8" s="66">
        <f t="shared" ref="Z8:Z71" si="3">W8-S8</f>
        <v>-33600</v>
      </c>
      <c r="AA8" s="61"/>
      <c r="AB8" s="67"/>
      <c r="AC8" s="61"/>
      <c r="AD8" s="66"/>
      <c r="AE8" s="61"/>
      <c r="AF8" s="52">
        <f t="shared" ref="AF8:AF71" si="4">SUM(Y8:AE8)</f>
        <v>-33600</v>
      </c>
      <c r="AG8" s="46">
        <f t="shared" ref="AG8:AG71" si="5">U8+AF8</f>
        <v>-24350</v>
      </c>
      <c r="AH8" s="51">
        <f t="shared" ref="AH8:AH71" si="6">AG8-S8</f>
        <v>-57950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7400</v>
      </c>
      <c r="D11" s="6">
        <v>4550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1000+6000</f>
        <v>7000</v>
      </c>
      <c r="S11" s="6">
        <f t="shared" si="1"/>
        <v>4950</v>
      </c>
      <c r="T11" s="6">
        <v>-3750</v>
      </c>
      <c r="U11" s="6">
        <f t="shared" si="2"/>
        <v>1200</v>
      </c>
      <c r="V11" s="52"/>
      <c r="W11" s="57"/>
      <c r="X11" s="46"/>
      <c r="Y11" s="61"/>
      <c r="Z11" s="66">
        <f t="shared" si="3"/>
        <v>-4950</v>
      </c>
      <c r="AA11" s="61"/>
      <c r="AB11" s="67"/>
      <c r="AC11" s="61"/>
      <c r="AD11" s="66"/>
      <c r="AE11" s="61"/>
      <c r="AF11" s="52">
        <f t="shared" si="4"/>
        <v>-4950</v>
      </c>
      <c r="AG11" s="46">
        <f t="shared" si="5"/>
        <v>-3750</v>
      </c>
      <c r="AH11" s="51">
        <f t="shared" si="6"/>
        <v>-8700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-150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-150</v>
      </c>
      <c r="T12" s="6">
        <v>4700</v>
      </c>
      <c r="U12" s="6">
        <f t="shared" si="2"/>
        <v>4550</v>
      </c>
      <c r="V12" s="52"/>
      <c r="W12" s="57"/>
      <c r="X12" s="46"/>
      <c r="Y12" s="61"/>
      <c r="Z12" s="66">
        <f t="shared" si="3"/>
        <v>150</v>
      </c>
      <c r="AA12" s="61"/>
      <c r="AB12" s="67"/>
      <c r="AC12" s="61"/>
      <c r="AD12" s="66"/>
      <c r="AE12" s="61"/>
      <c r="AF12" s="52">
        <f t="shared" si="4"/>
        <v>150</v>
      </c>
      <c r="AG12" s="46">
        <f t="shared" si="5"/>
        <v>4700</v>
      </c>
      <c r="AH12" s="51">
        <f t="shared" si="6"/>
        <v>4850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13410</v>
      </c>
      <c r="D14" s="6">
        <f>12150+5000+5000</f>
        <v>22150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1500+2500+2500</f>
        <v>6500</v>
      </c>
      <c r="S14" s="6">
        <f t="shared" si="1"/>
        <v>29060</v>
      </c>
      <c r="T14" s="6">
        <v>-5760</v>
      </c>
      <c r="U14" s="6">
        <f t="shared" si="2"/>
        <v>23300</v>
      </c>
      <c r="V14" s="52"/>
      <c r="W14" s="57"/>
      <c r="X14" s="46"/>
      <c r="Y14" s="61"/>
      <c r="Z14" s="66">
        <f t="shared" si="3"/>
        <v>-29060</v>
      </c>
      <c r="AA14" s="61"/>
      <c r="AB14" s="66"/>
      <c r="AC14" s="61"/>
      <c r="AD14" s="66"/>
      <c r="AE14" s="61"/>
      <c r="AF14" s="52">
        <f t="shared" si="4"/>
        <v>-29060</v>
      </c>
      <c r="AG14" s="46">
        <f t="shared" si="5"/>
        <v>-5760</v>
      </c>
      <c r="AH14" s="51">
        <f t="shared" si="6"/>
        <v>-34820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11300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11300</v>
      </c>
      <c r="T16" s="34">
        <v>-10050</v>
      </c>
      <c r="U16" s="6">
        <f t="shared" si="2"/>
        <v>1250</v>
      </c>
      <c r="V16" s="52"/>
      <c r="W16" s="57"/>
      <c r="X16" s="46"/>
      <c r="Y16" s="61"/>
      <c r="Z16" s="66">
        <f t="shared" si="3"/>
        <v>-11300</v>
      </c>
      <c r="AA16" s="61"/>
      <c r="AB16" s="67"/>
      <c r="AC16" s="61"/>
      <c r="AD16" s="47"/>
      <c r="AE16" s="61"/>
      <c r="AF16" s="52">
        <f t="shared" si="4"/>
        <v>-11300</v>
      </c>
      <c r="AG16" s="46">
        <f t="shared" si="5"/>
        <v>-10050</v>
      </c>
      <c r="AH16" s="51">
        <f t="shared" si="6"/>
        <v>-21350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10100</v>
      </c>
      <c r="D17" s="6">
        <v>11350</v>
      </c>
      <c r="E17" s="6"/>
      <c r="F17" s="6"/>
      <c r="G17" s="6">
        <v>3050</v>
      </c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3050</v>
      </c>
      <c r="R17" s="6">
        <v>8000</v>
      </c>
      <c r="S17" s="6">
        <f t="shared" si="1"/>
        <v>13450</v>
      </c>
      <c r="T17" s="6">
        <v>-5000</v>
      </c>
      <c r="U17" s="6">
        <f t="shared" si="2"/>
        <v>8450</v>
      </c>
      <c r="V17" s="52"/>
      <c r="W17" s="57"/>
      <c r="X17" s="46"/>
      <c r="Y17" s="61"/>
      <c r="Z17" s="66">
        <f t="shared" si="3"/>
        <v>-13450</v>
      </c>
      <c r="AA17" s="61"/>
      <c r="AB17" s="66"/>
      <c r="AC17" s="61"/>
      <c r="AD17" s="66"/>
      <c r="AE17" s="61"/>
      <c r="AF17" s="52">
        <f t="shared" si="4"/>
        <v>-13450</v>
      </c>
      <c r="AG17" s="46">
        <f t="shared" si="5"/>
        <v>-5000</v>
      </c>
      <c r="AH17" s="51">
        <f t="shared" si="6"/>
        <v>-18450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>
        <v>1050</v>
      </c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1050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7">
        <f t="shared" si="0"/>
        <v>0</v>
      </c>
      <c r="R22" s="175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7">
        <f t="shared" si="0"/>
        <v>0</v>
      </c>
      <c r="R24" s="175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7">
        <f t="shared" si="0"/>
        <v>0</v>
      </c>
      <c r="R25" s="175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7">
        <f t="shared" si="0"/>
        <v>0</v>
      </c>
      <c r="R26" s="175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7">
        <f t="shared" si="0"/>
        <v>0</v>
      </c>
      <c r="R27" s="175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f>7180-700</f>
        <v>6480</v>
      </c>
      <c r="D28" s="6"/>
      <c r="E28" s="175"/>
      <c r="F28" s="175"/>
      <c r="G28" s="175">
        <v>3840</v>
      </c>
      <c r="H28" s="175"/>
      <c r="I28" s="175"/>
      <c r="J28" s="175"/>
      <c r="K28" s="175"/>
      <c r="L28" s="175"/>
      <c r="M28" s="175"/>
      <c r="N28" s="175"/>
      <c r="O28" s="175"/>
      <c r="P28" s="175"/>
      <c r="Q28" s="7">
        <f t="shared" si="0"/>
        <v>3840</v>
      </c>
      <c r="R28" s="175"/>
      <c r="S28" s="6">
        <f t="shared" si="1"/>
        <v>6480</v>
      </c>
      <c r="T28" s="6">
        <f>-40-100</f>
        <v>-140</v>
      </c>
      <c r="U28" s="6">
        <f t="shared" si="2"/>
        <v>6340</v>
      </c>
      <c r="V28" s="52"/>
      <c r="W28" s="57"/>
      <c r="X28" s="46"/>
      <c r="Y28" s="61"/>
      <c r="Z28" s="66">
        <f t="shared" si="3"/>
        <v>-6480</v>
      </c>
      <c r="AA28" s="61"/>
      <c r="AB28" s="67"/>
      <c r="AC28" s="61"/>
      <c r="AD28" s="66"/>
      <c r="AE28" s="61"/>
      <c r="AF28" s="52">
        <f t="shared" si="4"/>
        <v>-6480</v>
      </c>
      <c r="AG28" s="46">
        <f t="shared" si="5"/>
        <v>-140</v>
      </c>
      <c r="AH28" s="51">
        <f t="shared" si="6"/>
        <v>-6620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5180</v>
      </c>
      <c r="D29" s="6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7">
        <f t="shared" si="0"/>
        <v>0</v>
      </c>
      <c r="R29" s="175">
        <v>400</v>
      </c>
      <c r="S29" s="6">
        <f t="shared" si="1"/>
        <v>4780</v>
      </c>
      <c r="T29" s="6">
        <f>860+100</f>
        <v>960</v>
      </c>
      <c r="U29" s="6">
        <f t="shared" si="2"/>
        <v>5740</v>
      </c>
      <c r="V29" s="52"/>
      <c r="W29" s="57"/>
      <c r="X29" s="46"/>
      <c r="Y29" s="61"/>
      <c r="Z29" s="66">
        <f t="shared" si="3"/>
        <v>-4780</v>
      </c>
      <c r="AA29" s="61"/>
      <c r="AB29" s="67"/>
      <c r="AC29" s="61"/>
      <c r="AD29" s="66"/>
      <c r="AE29" s="61"/>
      <c r="AF29" s="52">
        <f t="shared" si="4"/>
        <v>-4780</v>
      </c>
      <c r="AG29" s="46">
        <f t="shared" si="5"/>
        <v>960</v>
      </c>
      <c r="AH29" s="51">
        <f t="shared" si="6"/>
        <v>-3820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7">
        <f t="shared" si="0"/>
        <v>0</v>
      </c>
      <c r="R30" s="175">
        <v>900</v>
      </c>
      <c r="S30" s="6">
        <f t="shared" si="1"/>
        <v>19490</v>
      </c>
      <c r="T30" s="6">
        <v>-18970</v>
      </c>
      <c r="U30" s="6">
        <f t="shared" si="2"/>
        <v>520</v>
      </c>
      <c r="V30" s="52"/>
      <c r="W30" s="57"/>
      <c r="X30" s="46"/>
      <c r="Y30" s="61"/>
      <c r="Z30" s="66">
        <f t="shared" si="3"/>
        <v>-19490</v>
      </c>
      <c r="AA30" s="61"/>
      <c r="AB30" s="67"/>
      <c r="AC30" s="61"/>
      <c r="AD30" s="66"/>
      <c r="AE30" s="61"/>
      <c r="AF30" s="52">
        <f t="shared" si="4"/>
        <v>-19490</v>
      </c>
      <c r="AG30" s="46">
        <f t="shared" si="5"/>
        <v>-18970</v>
      </c>
      <c r="AH30" s="51">
        <f t="shared" si="6"/>
        <v>-38460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17280</v>
      </c>
      <c r="D31" s="6">
        <v>1960</v>
      </c>
      <c r="E31" s="175"/>
      <c r="F31" s="175"/>
      <c r="G31" s="175">
        <v>2120</v>
      </c>
      <c r="H31" s="175"/>
      <c r="I31" s="175"/>
      <c r="J31" s="175"/>
      <c r="K31" s="175"/>
      <c r="L31" s="175"/>
      <c r="M31" s="175"/>
      <c r="N31" s="175"/>
      <c r="O31" s="175"/>
      <c r="P31" s="175"/>
      <c r="Q31" s="7">
        <f t="shared" si="0"/>
        <v>2120</v>
      </c>
      <c r="R31" s="175"/>
      <c r="S31" s="6">
        <f t="shared" si="1"/>
        <v>19240</v>
      </c>
      <c r="T31" s="6">
        <v>-17180</v>
      </c>
      <c r="U31" s="6">
        <f t="shared" si="2"/>
        <v>2060</v>
      </c>
      <c r="V31" s="52"/>
      <c r="W31" s="57"/>
      <c r="X31" s="46"/>
      <c r="Y31" s="61"/>
      <c r="Z31" s="66">
        <f t="shared" si="3"/>
        <v>-19240</v>
      </c>
      <c r="AA31" s="61"/>
      <c r="AB31" s="64"/>
      <c r="AC31" s="61"/>
      <c r="AD31" s="66"/>
      <c r="AE31" s="61"/>
      <c r="AF31" s="52">
        <f t="shared" si="4"/>
        <v>-19240</v>
      </c>
      <c r="AG31" s="46">
        <f t="shared" si="5"/>
        <v>-17180</v>
      </c>
      <c r="AH31" s="51">
        <f t="shared" si="6"/>
        <v>-36420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21660</v>
      </c>
      <c r="D32" s="6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6"/>
      <c r="P32" s="6"/>
      <c r="Q32" s="7">
        <f>SUM(E32:P32)</f>
        <v>0</v>
      </c>
      <c r="R32" s="175">
        <v>500</v>
      </c>
      <c r="S32" s="6">
        <f t="shared" si="1"/>
        <v>21160</v>
      </c>
      <c r="T32" s="6">
        <v>-18280</v>
      </c>
      <c r="U32" s="6">
        <f t="shared" si="2"/>
        <v>2880</v>
      </c>
      <c r="V32" s="52"/>
      <c r="W32" s="57"/>
      <c r="X32" s="46"/>
      <c r="Y32" s="61"/>
      <c r="Z32" s="66">
        <f t="shared" si="3"/>
        <v>-21160</v>
      </c>
      <c r="AA32" s="61"/>
      <c r="AB32" s="67"/>
      <c r="AC32" s="61"/>
      <c r="AD32" s="66"/>
      <c r="AE32" s="61"/>
      <c r="AF32" s="52">
        <f t="shared" si="4"/>
        <v>-21160</v>
      </c>
      <c r="AG32" s="46">
        <f t="shared" si="5"/>
        <v>-18280</v>
      </c>
      <c r="AH32" s="51">
        <f t="shared" si="6"/>
        <v>-39440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7">
        <f t="shared" si="0"/>
        <v>0</v>
      </c>
      <c r="R33" s="175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1860</v>
      </c>
      <c r="D34" s="6"/>
      <c r="E34" s="175"/>
      <c r="F34" s="175"/>
      <c r="G34" s="175"/>
      <c r="H34" s="175"/>
      <c r="I34" s="175"/>
      <c r="J34" s="175"/>
      <c r="K34" s="6"/>
      <c r="L34" s="175"/>
      <c r="M34" s="175"/>
      <c r="N34" s="175"/>
      <c r="O34" s="175"/>
      <c r="P34" s="175"/>
      <c r="Q34" s="7">
        <f t="shared" si="0"/>
        <v>0</v>
      </c>
      <c r="R34" s="175"/>
      <c r="S34" s="6">
        <f t="shared" si="1"/>
        <v>1860</v>
      </c>
      <c r="T34" s="6">
        <v>2960</v>
      </c>
      <c r="U34" s="6">
        <f t="shared" si="2"/>
        <v>4820</v>
      </c>
      <c r="V34" s="52"/>
      <c r="W34" s="57"/>
      <c r="X34" s="46"/>
      <c r="Y34" s="61"/>
      <c r="Z34" s="66">
        <f t="shared" si="3"/>
        <v>-1860</v>
      </c>
      <c r="AA34" s="61"/>
      <c r="AB34" s="67"/>
      <c r="AC34" s="61"/>
      <c r="AD34" s="66"/>
      <c r="AE34" s="61"/>
      <c r="AF34" s="52">
        <f t="shared" si="4"/>
        <v>-1860</v>
      </c>
      <c r="AG34" s="46">
        <f t="shared" si="5"/>
        <v>2960</v>
      </c>
      <c r="AH34" s="51">
        <f t="shared" si="6"/>
        <v>1100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75"/>
      <c r="F35" s="175"/>
      <c r="G35" s="175">
        <v>4600</v>
      </c>
      <c r="H35" s="175"/>
      <c r="I35" s="175"/>
      <c r="J35" s="175"/>
      <c r="K35" s="6"/>
      <c r="L35" s="175"/>
      <c r="M35" s="175"/>
      <c r="N35" s="175"/>
      <c r="O35" s="175"/>
      <c r="P35" s="175"/>
      <c r="Q35" s="7">
        <f t="shared" si="0"/>
        <v>4600</v>
      </c>
      <c r="R35" s="175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75"/>
      <c r="F36" s="175"/>
      <c r="G36" s="175">
        <v>4160</v>
      </c>
      <c r="H36" s="175"/>
      <c r="I36" s="175"/>
      <c r="J36" s="175"/>
      <c r="K36" s="175"/>
      <c r="L36" s="175"/>
      <c r="M36" s="175"/>
      <c r="N36" s="175"/>
      <c r="O36" s="175"/>
      <c r="P36" s="175"/>
      <c r="Q36" s="7">
        <f t="shared" si="0"/>
        <v>4160</v>
      </c>
      <c r="R36" s="175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7">
        <f t="shared" si="0"/>
        <v>0</v>
      </c>
      <c r="R37" s="175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1880</v>
      </c>
      <c r="D38" s="6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7">
        <f>SUM(E38:P38)</f>
        <v>0</v>
      </c>
      <c r="R38" s="175"/>
      <c r="S38" s="6">
        <f t="shared" si="1"/>
        <v>1880</v>
      </c>
      <c r="T38" s="6">
        <v>-1340</v>
      </c>
      <c r="U38" s="6">
        <f t="shared" si="2"/>
        <v>540</v>
      </c>
      <c r="V38" s="52"/>
      <c r="W38" s="57"/>
      <c r="X38" s="46"/>
      <c r="Y38" s="61"/>
      <c r="Z38" s="66">
        <f t="shared" si="3"/>
        <v>-1880</v>
      </c>
      <c r="AA38" s="61"/>
      <c r="AB38" s="64"/>
      <c r="AC38" s="61"/>
      <c r="AD38" s="66"/>
      <c r="AE38" s="61"/>
      <c r="AF38" s="52">
        <f t="shared" si="4"/>
        <v>-1880</v>
      </c>
      <c r="AG38" s="46">
        <f t="shared" si="5"/>
        <v>-1340</v>
      </c>
      <c r="AH38" s="51">
        <f t="shared" si="6"/>
        <v>-3220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7">
        <f>SUM(E39:P39)</f>
        <v>0</v>
      </c>
      <c r="R39" s="175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f>11400+700</f>
        <v>12100</v>
      </c>
      <c r="D40" s="6"/>
      <c r="E40" s="175"/>
      <c r="F40" s="175"/>
      <c r="G40" s="175"/>
      <c r="H40" s="27"/>
      <c r="I40" s="175"/>
      <c r="J40" s="175"/>
      <c r="K40" s="175"/>
      <c r="L40" s="175"/>
      <c r="M40" s="175"/>
      <c r="N40" s="175"/>
      <c r="O40" s="175"/>
      <c r="P40" s="175"/>
      <c r="Q40" s="7">
        <f>SUM(E40:P40)</f>
        <v>0</v>
      </c>
      <c r="R40" s="175">
        <v>1880</v>
      </c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7">
        <f>SUM(E41:P41)</f>
        <v>0</v>
      </c>
      <c r="R41" s="175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7">
        <f>SUM(E42:P42)</f>
        <v>0</v>
      </c>
      <c r="R42" s="175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7">
        <f t="shared" si="0"/>
        <v>0</v>
      </c>
      <c r="R44" s="175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7">
        <f t="shared" si="0"/>
        <v>0</v>
      </c>
      <c r="R45" s="175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7">
        <f t="shared" si="0"/>
        <v>0</v>
      </c>
      <c r="R46" s="175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7">
        <f t="shared" si="0"/>
        <v>0</v>
      </c>
      <c r="R47" s="175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7">
        <f t="shared" si="0"/>
        <v>0</v>
      </c>
      <c r="R48" s="175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7">
        <f t="shared" si="0"/>
        <v>0</v>
      </c>
      <c r="R49" s="175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4050</v>
      </c>
      <c r="D50" s="6">
        <v>4250</v>
      </c>
      <c r="E50" s="175">
        <v>6250</v>
      </c>
      <c r="F50" s="175"/>
      <c r="G50" s="175">
        <v>10700</v>
      </c>
      <c r="H50" s="175"/>
      <c r="I50" s="175"/>
      <c r="J50" s="175"/>
      <c r="K50" s="175"/>
      <c r="L50" s="175"/>
      <c r="M50" s="175"/>
      <c r="N50" s="175"/>
      <c r="O50" s="175"/>
      <c r="P50" s="175"/>
      <c r="Q50" s="7">
        <f t="shared" si="0"/>
        <v>16950</v>
      </c>
      <c r="R50" s="175"/>
      <c r="S50" s="6">
        <f t="shared" si="1"/>
        <v>8300</v>
      </c>
      <c r="T50" s="6">
        <f>-12000+8615</f>
        <v>-3385</v>
      </c>
      <c r="U50" s="6">
        <f t="shared" si="2"/>
        <v>4915</v>
      </c>
      <c r="V50" s="52"/>
      <c r="W50" s="57"/>
      <c r="X50" s="46"/>
      <c r="Y50" s="61"/>
      <c r="Z50" s="66">
        <f t="shared" si="3"/>
        <v>-8300</v>
      </c>
      <c r="AA50" s="61"/>
      <c r="AB50" s="64"/>
      <c r="AC50" s="61"/>
      <c r="AD50" s="66"/>
      <c r="AE50" s="61"/>
      <c r="AF50" s="52">
        <f t="shared" si="4"/>
        <v>-8300</v>
      </c>
      <c r="AG50" s="46">
        <f t="shared" si="5"/>
        <v>-3385</v>
      </c>
      <c r="AH50" s="51">
        <f t="shared" si="6"/>
        <v>-11685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7">
        <f t="shared" si="0"/>
        <v>0</v>
      </c>
      <c r="R51" s="175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7">
        <f t="shared" si="0"/>
        <v>0</v>
      </c>
      <c r="R52" s="175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13025</v>
      </c>
      <c r="D53" s="6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7">
        <f t="shared" si="0"/>
        <v>0</v>
      </c>
      <c r="R53" s="175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3750</v>
      </c>
      <c r="D54" s="6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7">
        <f t="shared" si="0"/>
        <v>0</v>
      </c>
      <c r="R54" s="175"/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7">
        <f t="shared" si="0"/>
        <v>0</v>
      </c>
      <c r="R55" s="175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7">
        <f>SUM(E56:P56)</f>
        <v>0</v>
      </c>
      <c r="R56" s="175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7">
        <f t="shared" si="0"/>
        <v>0</v>
      </c>
      <c r="R61" s="175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7">
        <f t="shared" si="0"/>
        <v>0</v>
      </c>
      <c r="R62" s="174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7">
        <f t="shared" si="0"/>
        <v>0</v>
      </c>
      <c r="R63" s="174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7">
        <f t="shared" si="0"/>
        <v>0</v>
      </c>
      <c r="R64" s="174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7">
        <f t="shared" si="0"/>
        <v>0</v>
      </c>
      <c r="R65" s="174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73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7">
        <f t="shared" si="0"/>
        <v>0</v>
      </c>
      <c r="R67" s="175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7">
        <f t="shared" si="0"/>
        <v>0</v>
      </c>
      <c r="R68" s="175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28325</v>
      </c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7">
        <f t="shared" si="0"/>
        <v>0</v>
      </c>
      <c r="R69" s="175">
        <f>300+4000+350</f>
        <v>4650</v>
      </c>
      <c r="S69" s="6">
        <f t="shared" si="1"/>
        <v>23675</v>
      </c>
      <c r="T69" s="6">
        <v>-16950</v>
      </c>
      <c r="U69" s="6">
        <f t="shared" si="2"/>
        <v>6725</v>
      </c>
      <c r="V69" s="52"/>
      <c r="W69" s="57"/>
      <c r="X69" s="46"/>
      <c r="Y69" s="61"/>
      <c r="Z69" s="66">
        <f t="shared" si="3"/>
        <v>-23675</v>
      </c>
      <c r="AA69" s="61"/>
      <c r="AB69" s="64"/>
      <c r="AC69" s="61"/>
      <c r="AD69" s="66"/>
      <c r="AE69" s="61"/>
      <c r="AF69" s="52">
        <f t="shared" si="4"/>
        <v>-23675</v>
      </c>
      <c r="AG69" s="46">
        <f t="shared" si="5"/>
        <v>-16950</v>
      </c>
      <c r="AH69" s="51">
        <f t="shared" si="6"/>
        <v>-40625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12300</v>
      </c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7">
        <f t="shared" si="0"/>
        <v>0</v>
      </c>
      <c r="R70" s="175"/>
      <c r="S70" s="6">
        <f t="shared" si="1"/>
        <v>12300</v>
      </c>
      <c r="T70" s="6">
        <v>-9425</v>
      </c>
      <c r="U70" s="6">
        <f t="shared" si="2"/>
        <v>2875</v>
      </c>
      <c r="V70" s="52"/>
      <c r="W70" s="57"/>
      <c r="X70" s="46"/>
      <c r="Y70" s="61"/>
      <c r="Z70" s="66">
        <f t="shared" si="3"/>
        <v>-12300</v>
      </c>
      <c r="AA70" s="61"/>
      <c r="AB70" s="67"/>
      <c r="AC70" s="61"/>
      <c r="AD70" s="66"/>
      <c r="AE70" s="61"/>
      <c r="AF70" s="52">
        <f t="shared" si="4"/>
        <v>-12300</v>
      </c>
      <c r="AG70" s="46">
        <f t="shared" si="5"/>
        <v>-9425</v>
      </c>
      <c r="AH70" s="51">
        <f t="shared" si="6"/>
        <v>-21725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50850</v>
      </c>
      <c r="D71" s="175"/>
      <c r="E71" s="175"/>
      <c r="F71" s="175"/>
      <c r="G71" s="175">
        <v>10575</v>
      </c>
      <c r="H71" s="175"/>
      <c r="I71" s="175"/>
      <c r="J71" s="175"/>
      <c r="K71" s="175"/>
      <c r="L71" s="175"/>
      <c r="M71" s="175"/>
      <c r="N71" s="175"/>
      <c r="O71" s="175"/>
      <c r="P71" s="175"/>
      <c r="Q71" s="7">
        <f t="shared" si="0"/>
        <v>10575</v>
      </c>
      <c r="R71" s="175">
        <f>3000+250</f>
        <v>3250</v>
      </c>
      <c r="S71" s="6">
        <f t="shared" si="1"/>
        <v>47600</v>
      </c>
      <c r="T71" s="6">
        <v>-27500</v>
      </c>
      <c r="U71" s="6">
        <f t="shared" si="2"/>
        <v>20100</v>
      </c>
      <c r="V71" s="52"/>
      <c r="W71" s="57"/>
      <c r="X71" s="46"/>
      <c r="Y71" s="61"/>
      <c r="Z71" s="66">
        <f t="shared" si="3"/>
        <v>-47600</v>
      </c>
      <c r="AA71" s="61"/>
      <c r="AB71" s="64"/>
      <c r="AC71" s="61"/>
      <c r="AD71" s="66"/>
      <c r="AE71" s="61"/>
      <c r="AF71" s="52">
        <f t="shared" si="4"/>
        <v>-47600</v>
      </c>
      <c r="AG71" s="46">
        <f t="shared" si="5"/>
        <v>-27500</v>
      </c>
      <c r="AH71" s="51">
        <f t="shared" si="6"/>
        <v>-75100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75">
        <f>SUM(C7:C72)</f>
        <v>406975</v>
      </c>
      <c r="D73" s="175">
        <f t="shared" ref="D73:V73" si="11">SUM(D7:D72)</f>
        <v>44260</v>
      </c>
      <c r="E73" s="175">
        <f t="shared" si="11"/>
        <v>6250</v>
      </c>
      <c r="F73" s="175">
        <f t="shared" si="11"/>
        <v>0</v>
      </c>
      <c r="G73" s="175">
        <f t="shared" si="11"/>
        <v>40095</v>
      </c>
      <c r="H73" s="27">
        <f t="shared" si="11"/>
        <v>0</v>
      </c>
      <c r="I73" s="175">
        <f t="shared" si="11"/>
        <v>0</v>
      </c>
      <c r="J73" s="175">
        <f t="shared" si="11"/>
        <v>0</v>
      </c>
      <c r="K73" s="175">
        <f t="shared" si="11"/>
        <v>0</v>
      </c>
      <c r="L73" s="175">
        <f t="shared" si="11"/>
        <v>0</v>
      </c>
      <c r="M73" s="175">
        <f t="shared" si="11"/>
        <v>0</v>
      </c>
      <c r="N73" s="175">
        <f t="shared" si="11"/>
        <v>0</v>
      </c>
      <c r="O73" s="175">
        <f t="shared" si="11"/>
        <v>0</v>
      </c>
      <c r="P73" s="175">
        <f t="shared" si="11"/>
        <v>0</v>
      </c>
      <c r="Q73" s="175">
        <f t="shared" si="11"/>
        <v>46345</v>
      </c>
      <c r="R73" s="175">
        <f t="shared" si="11"/>
        <v>33080</v>
      </c>
      <c r="S73" s="175">
        <f t="shared" si="11"/>
        <v>418155</v>
      </c>
      <c r="T73" s="175">
        <f t="shared" si="11"/>
        <v>-286670</v>
      </c>
      <c r="U73" s="175">
        <f t="shared" si="11"/>
        <v>131485</v>
      </c>
      <c r="V73" s="175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-418155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-418155</v>
      </c>
      <c r="AG73" s="43">
        <f t="shared" si="12"/>
        <v>-286670</v>
      </c>
      <c r="AH73" s="43">
        <f t="shared" si="12"/>
        <v>-704825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46345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19040+34230+16185+52765+57455+19000+30150+15160+25540+49550+7100+5800+25240+9300+63245+35645+52970+12050+29320+48350+57825+19950+25275+21485+43950+18035+46345</f>
        <v>840960</v>
      </c>
      <c r="S74" s="211"/>
      <c r="T74" s="212">
        <f>R74+R75</f>
        <v>1957465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44260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28525+29600+39100+3100+62165+29250+69870+73500+69085+35150+67115+10100+28325+96100+8100+72500+38200+65350+45650+14350+51700+38400+50810+17850+28350+44260</f>
        <v>1116505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33080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76510+33035+58040+13475+68820+6900+95950+62450+44990+60525+45725+16920+92525+40300+26350+54650+41350+37870+27175+44700+85615+22280+37650+23900+28150+33080</f>
        <v>1178935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6000+6000+6000+18000+5600+12250+7000+2800+12000+6000+11700+6000+12000+10800+2950+9800+6000+12000+6000+12000+6000+2700+6000+6000+6000+18000+6000+12000</f>
        <v>233600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</f>
        <v>15600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261700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39975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50630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917235</v>
      </c>
      <c r="S80" s="197"/>
      <c r="T80" s="22"/>
      <c r="U80" s="22"/>
      <c r="V80" s="2"/>
      <c r="X80" s="63">
        <f>SUM(X77:X79)</f>
        <v>90605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72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>
        <v>6000</v>
      </c>
      <c r="R109" s="36">
        <v>6000</v>
      </c>
      <c r="S109" s="36">
        <v>23</v>
      </c>
      <c r="T109" s="36">
        <v>37650</v>
      </c>
      <c r="U109" s="36">
        <v>23</v>
      </c>
      <c r="V109" s="36">
        <v>25275</v>
      </c>
      <c r="W109" s="36">
        <v>50810</v>
      </c>
      <c r="X109" s="36">
        <f t="shared" si="13"/>
        <v>76085</v>
      </c>
    </row>
    <row r="110" spans="15:26">
      <c r="O110" s="36"/>
      <c r="P110" s="36"/>
      <c r="Q110" s="36"/>
      <c r="R110" s="36">
        <v>6000</v>
      </c>
      <c r="S110" s="36">
        <v>24</v>
      </c>
      <c r="T110" s="36">
        <v>23900</v>
      </c>
      <c r="U110" s="36">
        <v>24</v>
      </c>
      <c r="V110" s="36">
        <v>21485</v>
      </c>
      <c r="W110" s="36">
        <v>17850</v>
      </c>
      <c r="X110" s="36">
        <f t="shared" si="13"/>
        <v>39335</v>
      </c>
    </row>
    <row r="111" spans="15:26">
      <c r="O111" s="36"/>
      <c r="P111" s="36"/>
      <c r="Q111" s="36"/>
      <c r="R111" s="36">
        <v>6000</v>
      </c>
      <c r="S111" s="36">
        <v>25</v>
      </c>
      <c r="T111" s="36"/>
      <c r="U111" s="36">
        <v>25</v>
      </c>
      <c r="V111" s="36">
        <v>43950</v>
      </c>
      <c r="W111" s="36"/>
      <c r="X111" s="36">
        <f t="shared" si="13"/>
        <v>43950</v>
      </c>
    </row>
    <row r="112" spans="15:26">
      <c r="O112" s="36"/>
      <c r="P112" s="36"/>
      <c r="Q112" s="36"/>
      <c r="R112" s="36">
        <v>12000</v>
      </c>
      <c r="S112" s="36">
        <v>26</v>
      </c>
      <c r="T112" s="36">
        <v>28150</v>
      </c>
      <c r="U112" s="36">
        <v>26</v>
      </c>
      <c r="V112" s="36">
        <v>18035</v>
      </c>
      <c r="W112" s="36">
        <v>28350</v>
      </c>
      <c r="X112" s="36">
        <f t="shared" si="13"/>
        <v>46385</v>
      </c>
    </row>
    <row r="113" spans="15:27">
      <c r="O113" s="36"/>
      <c r="P113" s="36"/>
      <c r="Q113" s="36"/>
      <c r="R113" s="36">
        <v>6000</v>
      </c>
      <c r="S113" s="36">
        <v>27</v>
      </c>
      <c r="T113" s="36">
        <v>33080</v>
      </c>
      <c r="U113" s="36">
        <v>27</v>
      </c>
      <c r="V113" s="36">
        <v>46345</v>
      </c>
      <c r="W113" s="36">
        <v>44260</v>
      </c>
      <c r="X113" s="36">
        <f t="shared" si="13"/>
        <v>90605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27600</v>
      </c>
      <c r="R118" s="63">
        <f t="shared" si="14"/>
        <v>233600</v>
      </c>
      <c r="S118" s="63"/>
      <c r="T118" s="63">
        <f>SUM(T87:T117)</f>
        <v>1178935</v>
      </c>
      <c r="U118" s="63"/>
      <c r="V118" s="63">
        <f>SUM(V87:V117)</f>
        <v>840960</v>
      </c>
      <c r="W118" s="63">
        <f>SUM(W87:W117)</f>
        <v>1116505</v>
      </c>
      <c r="X118" s="36">
        <f>SUM(V118:W118)</f>
        <v>1957465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2" activePane="bottomRight" state="frozen"/>
      <selection activeCell="O32" sqref="O32"/>
      <selection pane="topRight" activeCell="O32" sqref="O32"/>
      <selection pane="bottomLeft" activeCell="O32" sqref="O32"/>
      <selection pane="bottomRight" activeCell="M73" sqref="M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189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157</v>
      </c>
      <c r="P6" s="171" t="s">
        <v>187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10250</v>
      </c>
      <c r="D7" s="6">
        <v>5000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1000+1500</f>
        <v>2500</v>
      </c>
      <c r="S7" s="6">
        <f>C7+D7-R7</f>
        <v>12750</v>
      </c>
      <c r="T7" s="34">
        <v>-9150</v>
      </c>
      <c r="U7" s="6">
        <f>S7+T7</f>
        <v>3600</v>
      </c>
      <c r="V7" s="52"/>
      <c r="W7" s="57"/>
      <c r="X7" s="46"/>
      <c r="Y7" s="65"/>
      <c r="Z7" s="66">
        <f>W7-S7</f>
        <v>-12750</v>
      </c>
      <c r="AA7" s="65"/>
      <c r="AB7" s="67"/>
      <c r="AC7" s="65"/>
      <c r="AD7" s="47"/>
      <c r="AE7" s="61"/>
      <c r="AF7" s="52">
        <f>SUM(Y7:AE7)</f>
        <v>-12750</v>
      </c>
      <c r="AG7" s="46">
        <f>U7+AF7</f>
        <v>-9150</v>
      </c>
      <c r="AH7" s="51">
        <f>AG7-S7</f>
        <v>-21900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33600</v>
      </c>
      <c r="D8" s="6">
        <v>4850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2000+3500</f>
        <v>5500</v>
      </c>
      <c r="S8" s="6">
        <f t="shared" ref="S8:S71" si="1">C8+D8-R8</f>
        <v>32950</v>
      </c>
      <c r="T8" s="6">
        <v>-24350</v>
      </c>
      <c r="U8" s="6">
        <f t="shared" ref="U8:U71" si="2">S8+T8</f>
        <v>8600</v>
      </c>
      <c r="V8" s="52"/>
      <c r="W8" s="57"/>
      <c r="X8" s="46"/>
      <c r="Y8" s="61"/>
      <c r="Z8" s="66">
        <f t="shared" ref="Z8:Z71" si="3">W8-S8</f>
        <v>-32950</v>
      </c>
      <c r="AA8" s="61"/>
      <c r="AB8" s="67"/>
      <c r="AC8" s="61"/>
      <c r="AD8" s="66"/>
      <c r="AE8" s="61"/>
      <c r="AF8" s="52">
        <f t="shared" ref="AF8:AF71" si="4">SUM(Y8:AE8)</f>
        <v>-32950</v>
      </c>
      <c r="AG8" s="46">
        <f t="shared" ref="AG8:AG71" si="5">U8+AF8</f>
        <v>-24350</v>
      </c>
      <c r="AH8" s="51">
        <f t="shared" ref="AH8:AH71" si="6">AG8-S8</f>
        <v>-57300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4950</v>
      </c>
      <c r="D11" s="6">
        <v>4750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250+250</f>
        <v>500</v>
      </c>
      <c r="S11" s="6">
        <f t="shared" si="1"/>
        <v>9200</v>
      </c>
      <c r="T11" s="6">
        <v>-3750</v>
      </c>
      <c r="U11" s="6">
        <f t="shared" si="2"/>
        <v>5450</v>
      </c>
      <c r="V11" s="52"/>
      <c r="W11" s="57"/>
      <c r="X11" s="46"/>
      <c r="Y11" s="61"/>
      <c r="Z11" s="66">
        <f t="shared" si="3"/>
        <v>-9200</v>
      </c>
      <c r="AA11" s="61"/>
      <c r="AB11" s="67"/>
      <c r="AC11" s="61"/>
      <c r="AD11" s="66"/>
      <c r="AE11" s="61"/>
      <c r="AF11" s="52">
        <f t="shared" si="4"/>
        <v>-9200</v>
      </c>
      <c r="AG11" s="46">
        <f t="shared" si="5"/>
        <v>-3750</v>
      </c>
      <c r="AH11" s="51">
        <f t="shared" si="6"/>
        <v>-12950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-150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250+1500+650</f>
        <v>2400</v>
      </c>
      <c r="S12" s="6">
        <f t="shared" si="1"/>
        <v>-2550</v>
      </c>
      <c r="T12" s="6">
        <v>4700</v>
      </c>
      <c r="U12" s="6">
        <f t="shared" si="2"/>
        <v>2150</v>
      </c>
      <c r="V12" s="52"/>
      <c r="W12" s="57"/>
      <c r="X12" s="46"/>
      <c r="Y12" s="61"/>
      <c r="Z12" s="66">
        <f t="shared" si="3"/>
        <v>2550</v>
      </c>
      <c r="AA12" s="61"/>
      <c r="AB12" s="67"/>
      <c r="AC12" s="61"/>
      <c r="AD12" s="66"/>
      <c r="AE12" s="61"/>
      <c r="AF12" s="52">
        <f t="shared" si="4"/>
        <v>2550</v>
      </c>
      <c r="AG12" s="46">
        <f t="shared" si="5"/>
        <v>4700</v>
      </c>
      <c r="AH12" s="51">
        <f t="shared" si="6"/>
        <v>7250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29060</v>
      </c>
      <c r="D14" s="6">
        <v>6200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3000+6000+6000+5750+550+2000</f>
        <v>23300</v>
      </c>
      <c r="S14" s="6">
        <f t="shared" si="1"/>
        <v>11960</v>
      </c>
      <c r="T14" s="6">
        <v>-5760</v>
      </c>
      <c r="U14" s="6">
        <f t="shared" si="2"/>
        <v>6200</v>
      </c>
      <c r="V14" s="52"/>
      <c r="W14" s="57"/>
      <c r="X14" s="46"/>
      <c r="Y14" s="61"/>
      <c r="Z14" s="66">
        <f t="shared" si="3"/>
        <v>-11960</v>
      </c>
      <c r="AA14" s="61"/>
      <c r="AB14" s="66"/>
      <c r="AC14" s="61"/>
      <c r="AD14" s="66"/>
      <c r="AE14" s="61"/>
      <c r="AF14" s="52">
        <f t="shared" si="4"/>
        <v>-11960</v>
      </c>
      <c r="AG14" s="46">
        <f t="shared" si="5"/>
        <v>-5760</v>
      </c>
      <c r="AH14" s="51">
        <f t="shared" si="6"/>
        <v>-17720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11300</v>
      </c>
      <c r="D16" s="6">
        <v>4000</v>
      </c>
      <c r="E16" s="6"/>
      <c r="F16" s="6"/>
      <c r="G16" s="6"/>
      <c r="H16" s="6"/>
      <c r="I16" s="6"/>
      <c r="J16" s="6"/>
      <c r="K16" s="6"/>
      <c r="L16" s="6"/>
      <c r="M16" s="6">
        <v>1000</v>
      </c>
      <c r="N16" s="6"/>
      <c r="O16" s="6"/>
      <c r="P16" s="6"/>
      <c r="Q16" s="7">
        <f t="shared" si="0"/>
        <v>1000</v>
      </c>
      <c r="R16" s="6">
        <v>2500</v>
      </c>
      <c r="S16" s="6">
        <f t="shared" si="1"/>
        <v>12800</v>
      </c>
      <c r="T16" s="34">
        <v>-10050</v>
      </c>
      <c r="U16" s="6">
        <f t="shared" si="2"/>
        <v>2750</v>
      </c>
      <c r="V16" s="52"/>
      <c r="W16" s="57"/>
      <c r="X16" s="46"/>
      <c r="Y16" s="61"/>
      <c r="Z16" s="66">
        <f t="shared" si="3"/>
        <v>-12800</v>
      </c>
      <c r="AA16" s="61"/>
      <c r="AB16" s="67"/>
      <c r="AC16" s="61"/>
      <c r="AD16" s="47"/>
      <c r="AE16" s="61"/>
      <c r="AF16" s="52">
        <f t="shared" si="4"/>
        <v>-12800</v>
      </c>
      <c r="AG16" s="46">
        <f t="shared" si="5"/>
        <v>-10050</v>
      </c>
      <c r="AH16" s="51">
        <f t="shared" si="6"/>
        <v>-22850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13450</v>
      </c>
      <c r="D17" s="6"/>
      <c r="E17" s="6"/>
      <c r="F17" s="6"/>
      <c r="G17" s="6"/>
      <c r="H17" s="6"/>
      <c r="I17" s="6"/>
      <c r="J17" s="6"/>
      <c r="K17" s="6"/>
      <c r="L17" s="6"/>
      <c r="M17" s="6">
        <v>3000</v>
      </c>
      <c r="N17" s="6"/>
      <c r="O17" s="6"/>
      <c r="P17" s="6"/>
      <c r="Q17" s="7">
        <f t="shared" si="0"/>
        <v>3000</v>
      </c>
      <c r="R17" s="6">
        <f>250+5500</f>
        <v>5750</v>
      </c>
      <c r="S17" s="6">
        <f t="shared" si="1"/>
        <v>7700</v>
      </c>
      <c r="T17" s="6">
        <v>-5000</v>
      </c>
      <c r="U17" s="6">
        <f t="shared" si="2"/>
        <v>2700</v>
      </c>
      <c r="V17" s="52"/>
      <c r="W17" s="57"/>
      <c r="X17" s="46"/>
      <c r="Y17" s="61"/>
      <c r="Z17" s="66">
        <f t="shared" si="3"/>
        <v>-7700</v>
      </c>
      <c r="AA17" s="61"/>
      <c r="AB17" s="66"/>
      <c r="AC17" s="61"/>
      <c r="AD17" s="66"/>
      <c r="AE17" s="61"/>
      <c r="AF17" s="52">
        <f t="shared" si="4"/>
        <v>-7700</v>
      </c>
      <c r="AG17" s="46">
        <f t="shared" si="5"/>
        <v>-5000</v>
      </c>
      <c r="AH17" s="51">
        <f t="shared" si="6"/>
        <v>-12700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7">
        <f t="shared" si="0"/>
        <v>0</v>
      </c>
      <c r="R22" s="179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7">
        <f t="shared" si="0"/>
        <v>0</v>
      </c>
      <c r="R24" s="179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7">
        <f t="shared" si="0"/>
        <v>0</v>
      </c>
      <c r="R25" s="179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7">
        <f t="shared" si="0"/>
        <v>0</v>
      </c>
      <c r="R26" s="179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7">
        <f t="shared" si="0"/>
        <v>0</v>
      </c>
      <c r="R27" s="179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6480</v>
      </c>
      <c r="D28" s="6"/>
      <c r="E28" s="179"/>
      <c r="F28" s="179"/>
      <c r="G28" s="179">
        <v>3000</v>
      </c>
      <c r="H28" s="179"/>
      <c r="I28" s="179"/>
      <c r="J28" s="179"/>
      <c r="K28" s="179"/>
      <c r="L28" s="179"/>
      <c r="M28" s="179"/>
      <c r="N28" s="179"/>
      <c r="O28" s="179"/>
      <c r="P28" s="179"/>
      <c r="Q28" s="7">
        <f t="shared" si="0"/>
        <v>3000</v>
      </c>
      <c r="R28" s="179">
        <v>640</v>
      </c>
      <c r="S28" s="6">
        <f t="shared" si="1"/>
        <v>5840</v>
      </c>
      <c r="T28" s="6">
        <f>-40-100</f>
        <v>-140</v>
      </c>
      <c r="U28" s="6">
        <f t="shared" si="2"/>
        <v>5700</v>
      </c>
      <c r="V28" s="52"/>
      <c r="W28" s="57"/>
      <c r="X28" s="46"/>
      <c r="Y28" s="61"/>
      <c r="Z28" s="66">
        <f t="shared" si="3"/>
        <v>-5840</v>
      </c>
      <c r="AA28" s="61"/>
      <c r="AB28" s="67"/>
      <c r="AC28" s="61"/>
      <c r="AD28" s="66"/>
      <c r="AE28" s="61"/>
      <c r="AF28" s="52">
        <f t="shared" si="4"/>
        <v>-5840</v>
      </c>
      <c r="AG28" s="46">
        <f t="shared" si="5"/>
        <v>-140</v>
      </c>
      <c r="AH28" s="51">
        <f t="shared" si="6"/>
        <v>-5980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4780</v>
      </c>
      <c r="D29" s="6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7">
        <f t="shared" si="0"/>
        <v>0</v>
      </c>
      <c r="R29" s="179">
        <v>1300</v>
      </c>
      <c r="S29" s="6">
        <f t="shared" si="1"/>
        <v>3480</v>
      </c>
      <c r="T29" s="6">
        <f>860+100</f>
        <v>960</v>
      </c>
      <c r="U29" s="6">
        <f t="shared" si="2"/>
        <v>4440</v>
      </c>
      <c r="V29" s="52"/>
      <c r="W29" s="57"/>
      <c r="X29" s="46"/>
      <c r="Y29" s="61"/>
      <c r="Z29" s="66">
        <f t="shared" si="3"/>
        <v>-3480</v>
      </c>
      <c r="AA29" s="61"/>
      <c r="AB29" s="67"/>
      <c r="AC29" s="61"/>
      <c r="AD29" s="66"/>
      <c r="AE29" s="61"/>
      <c r="AF29" s="52">
        <f t="shared" si="4"/>
        <v>-3480</v>
      </c>
      <c r="AG29" s="46">
        <f t="shared" si="5"/>
        <v>960</v>
      </c>
      <c r="AH29" s="51">
        <f t="shared" si="6"/>
        <v>-2520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19490</v>
      </c>
      <c r="D30" s="6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7">
        <f t="shared" si="0"/>
        <v>0</v>
      </c>
      <c r="R30" s="179"/>
      <c r="S30" s="6">
        <f t="shared" si="1"/>
        <v>19490</v>
      </c>
      <c r="T30" s="6">
        <v>-18970</v>
      </c>
      <c r="U30" s="6">
        <f t="shared" si="2"/>
        <v>520</v>
      </c>
      <c r="V30" s="52"/>
      <c r="W30" s="57"/>
      <c r="X30" s="46"/>
      <c r="Y30" s="61"/>
      <c r="Z30" s="66">
        <f t="shared" si="3"/>
        <v>-19490</v>
      </c>
      <c r="AA30" s="61"/>
      <c r="AB30" s="67"/>
      <c r="AC30" s="61"/>
      <c r="AD30" s="66"/>
      <c r="AE30" s="61"/>
      <c r="AF30" s="52">
        <f t="shared" si="4"/>
        <v>-19490</v>
      </c>
      <c r="AG30" s="46">
        <f t="shared" si="5"/>
        <v>-18970</v>
      </c>
      <c r="AH30" s="51">
        <f t="shared" si="6"/>
        <v>-38460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19240</v>
      </c>
      <c r="D31" s="6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7">
        <f t="shared" si="0"/>
        <v>0</v>
      </c>
      <c r="R31" s="179">
        <v>600</v>
      </c>
      <c r="S31" s="6">
        <f t="shared" si="1"/>
        <v>18640</v>
      </c>
      <c r="T31" s="6">
        <v>-17180</v>
      </c>
      <c r="U31" s="6">
        <f t="shared" si="2"/>
        <v>1460</v>
      </c>
      <c r="V31" s="52"/>
      <c r="W31" s="57"/>
      <c r="X31" s="46"/>
      <c r="Y31" s="61"/>
      <c r="Z31" s="66">
        <f t="shared" si="3"/>
        <v>-18640</v>
      </c>
      <c r="AA31" s="61"/>
      <c r="AB31" s="64"/>
      <c r="AC31" s="61"/>
      <c r="AD31" s="66"/>
      <c r="AE31" s="61"/>
      <c r="AF31" s="52">
        <f t="shared" si="4"/>
        <v>-18640</v>
      </c>
      <c r="AG31" s="46">
        <f t="shared" si="5"/>
        <v>-17180</v>
      </c>
      <c r="AH31" s="51">
        <f t="shared" si="6"/>
        <v>-35820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21160</v>
      </c>
      <c r="D32" s="6"/>
      <c r="E32" s="179"/>
      <c r="F32" s="179"/>
      <c r="G32" s="179"/>
      <c r="H32" s="179"/>
      <c r="I32" s="179"/>
      <c r="J32" s="179"/>
      <c r="K32" s="179">
        <v>6000</v>
      </c>
      <c r="L32" s="179"/>
      <c r="M32" s="179">
        <v>3500</v>
      </c>
      <c r="N32" s="179"/>
      <c r="O32" s="6"/>
      <c r="P32" s="6"/>
      <c r="Q32" s="7">
        <f>SUM(E32:P32)</f>
        <v>9500</v>
      </c>
      <c r="R32" s="179"/>
      <c r="S32" s="6">
        <f t="shared" si="1"/>
        <v>21160</v>
      </c>
      <c r="T32" s="6">
        <v>-18280</v>
      </c>
      <c r="U32" s="6">
        <f t="shared" si="2"/>
        <v>2880</v>
      </c>
      <c r="V32" s="52"/>
      <c r="W32" s="57"/>
      <c r="X32" s="46"/>
      <c r="Y32" s="61"/>
      <c r="Z32" s="66">
        <f t="shared" si="3"/>
        <v>-21160</v>
      </c>
      <c r="AA32" s="61"/>
      <c r="AB32" s="67"/>
      <c r="AC32" s="61"/>
      <c r="AD32" s="66"/>
      <c r="AE32" s="61"/>
      <c r="AF32" s="52">
        <f t="shared" si="4"/>
        <v>-21160</v>
      </c>
      <c r="AG32" s="46">
        <f t="shared" si="5"/>
        <v>-18280</v>
      </c>
      <c r="AH32" s="51">
        <f t="shared" si="6"/>
        <v>-39440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7">
        <f t="shared" si="0"/>
        <v>0</v>
      </c>
      <c r="R33" s="179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1860</v>
      </c>
      <c r="D34" s="6"/>
      <c r="E34" s="179"/>
      <c r="F34" s="179"/>
      <c r="G34" s="179"/>
      <c r="H34" s="179"/>
      <c r="I34" s="179"/>
      <c r="J34" s="179"/>
      <c r="K34" s="6"/>
      <c r="L34" s="179"/>
      <c r="M34" s="179"/>
      <c r="N34" s="179"/>
      <c r="O34" s="179"/>
      <c r="P34" s="179"/>
      <c r="Q34" s="7">
        <f t="shared" si="0"/>
        <v>0</v>
      </c>
      <c r="R34" s="179">
        <v>100</v>
      </c>
      <c r="S34" s="6">
        <f t="shared" si="1"/>
        <v>1760</v>
      </c>
      <c r="T34" s="6">
        <v>2960</v>
      </c>
      <c r="U34" s="6">
        <f t="shared" si="2"/>
        <v>4720</v>
      </c>
      <c r="V34" s="52"/>
      <c r="W34" s="57"/>
      <c r="X34" s="46"/>
      <c r="Y34" s="61"/>
      <c r="Z34" s="66">
        <f t="shared" si="3"/>
        <v>-1760</v>
      </c>
      <c r="AA34" s="61"/>
      <c r="AB34" s="67"/>
      <c r="AC34" s="61"/>
      <c r="AD34" s="66"/>
      <c r="AE34" s="61"/>
      <c r="AF34" s="52">
        <f t="shared" si="4"/>
        <v>-1760</v>
      </c>
      <c r="AG34" s="46">
        <f t="shared" si="5"/>
        <v>2960</v>
      </c>
      <c r="AH34" s="51">
        <f t="shared" si="6"/>
        <v>1200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79"/>
      <c r="F35" s="179"/>
      <c r="G35" s="179"/>
      <c r="H35" s="179"/>
      <c r="I35" s="179"/>
      <c r="J35" s="179"/>
      <c r="K35" s="6"/>
      <c r="L35" s="179"/>
      <c r="M35" s="179"/>
      <c r="N35" s="179"/>
      <c r="O35" s="179"/>
      <c r="P35" s="179"/>
      <c r="Q35" s="7">
        <f t="shared" si="0"/>
        <v>0</v>
      </c>
      <c r="R35" s="179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7">
        <f t="shared" si="0"/>
        <v>0</v>
      </c>
      <c r="R36" s="179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7">
        <f t="shared" si="0"/>
        <v>0</v>
      </c>
      <c r="R37" s="179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1880</v>
      </c>
      <c r="D38" s="6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7">
        <f>SUM(E38:P38)</f>
        <v>0</v>
      </c>
      <c r="R38" s="179"/>
      <c r="S38" s="6">
        <f t="shared" si="1"/>
        <v>1880</v>
      </c>
      <c r="T38" s="6">
        <v>-1340</v>
      </c>
      <c r="U38" s="6">
        <f t="shared" si="2"/>
        <v>540</v>
      </c>
      <c r="V38" s="52"/>
      <c r="W38" s="57"/>
      <c r="X38" s="46"/>
      <c r="Y38" s="61"/>
      <c r="Z38" s="66">
        <f t="shared" si="3"/>
        <v>-1880</v>
      </c>
      <c r="AA38" s="61"/>
      <c r="AB38" s="64"/>
      <c r="AC38" s="61"/>
      <c r="AD38" s="66"/>
      <c r="AE38" s="61"/>
      <c r="AF38" s="52">
        <f t="shared" si="4"/>
        <v>-1880</v>
      </c>
      <c r="AG38" s="46">
        <f t="shared" si="5"/>
        <v>-1340</v>
      </c>
      <c r="AH38" s="51">
        <f t="shared" si="6"/>
        <v>-3220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7">
        <f>SUM(E39:P39)</f>
        <v>0</v>
      </c>
      <c r="R39" s="179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179"/>
      <c r="F40" s="179"/>
      <c r="G40" s="179"/>
      <c r="H40" s="27"/>
      <c r="I40" s="179"/>
      <c r="J40" s="179"/>
      <c r="K40" s="179"/>
      <c r="L40" s="179"/>
      <c r="M40" s="179"/>
      <c r="N40" s="179"/>
      <c r="O40" s="179"/>
      <c r="P40" s="179"/>
      <c r="Q40" s="7">
        <f>SUM(E40:P40)</f>
        <v>0</v>
      </c>
      <c r="R40" s="179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7">
        <f>SUM(E41:P41)</f>
        <v>0</v>
      </c>
      <c r="R41" s="179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7">
        <f>SUM(E42:P42)</f>
        <v>0</v>
      </c>
      <c r="R42" s="179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7">
        <f t="shared" si="0"/>
        <v>0</v>
      </c>
      <c r="R44" s="179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7">
        <f t="shared" si="0"/>
        <v>0</v>
      </c>
      <c r="R45" s="179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7">
        <f t="shared" si="0"/>
        <v>0</v>
      </c>
      <c r="R46" s="179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7">
        <f t="shared" si="0"/>
        <v>0</v>
      </c>
      <c r="R47" s="179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7">
        <f t="shared" si="0"/>
        <v>0</v>
      </c>
      <c r="R48" s="179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7">
        <f t="shared" si="0"/>
        <v>0</v>
      </c>
      <c r="R49" s="179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8300</v>
      </c>
      <c r="D50" s="6"/>
      <c r="E50" s="179"/>
      <c r="F50" s="179"/>
      <c r="G50" s="179"/>
      <c r="H50" s="179"/>
      <c r="I50" s="179"/>
      <c r="J50" s="179"/>
      <c r="K50" s="179">
        <v>5000</v>
      </c>
      <c r="L50" s="179"/>
      <c r="M50" s="179"/>
      <c r="N50" s="179"/>
      <c r="O50" s="179"/>
      <c r="P50" s="179"/>
      <c r="Q50" s="7">
        <f t="shared" si="0"/>
        <v>5000</v>
      </c>
      <c r="R50" s="179">
        <v>2350</v>
      </c>
      <c r="S50" s="6">
        <f t="shared" si="1"/>
        <v>5950</v>
      </c>
      <c r="T50" s="6">
        <f>-12000+8615</f>
        <v>-3385</v>
      </c>
      <c r="U50" s="6">
        <f t="shared" si="2"/>
        <v>2565</v>
      </c>
      <c r="V50" s="52"/>
      <c r="W50" s="57"/>
      <c r="X50" s="46"/>
      <c r="Y50" s="61"/>
      <c r="Z50" s="66">
        <f t="shared" si="3"/>
        <v>-5950</v>
      </c>
      <c r="AA50" s="61"/>
      <c r="AB50" s="64"/>
      <c r="AC50" s="61"/>
      <c r="AD50" s="66"/>
      <c r="AE50" s="61"/>
      <c r="AF50" s="52">
        <f t="shared" si="4"/>
        <v>-5950</v>
      </c>
      <c r="AG50" s="46">
        <f t="shared" si="5"/>
        <v>-3385</v>
      </c>
      <c r="AH50" s="51">
        <f t="shared" si="6"/>
        <v>-9335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7">
        <f t="shared" si="0"/>
        <v>0</v>
      </c>
      <c r="R51" s="179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7">
        <f t="shared" si="0"/>
        <v>0</v>
      </c>
      <c r="R52" s="179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13025</v>
      </c>
      <c r="D53" s="6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7">
        <f t="shared" si="0"/>
        <v>0</v>
      </c>
      <c r="R53" s="179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3750</v>
      </c>
      <c r="D54" s="6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7">
        <f t="shared" si="0"/>
        <v>0</v>
      </c>
      <c r="R54" s="179"/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7">
        <f t="shared" si="0"/>
        <v>0</v>
      </c>
      <c r="R55" s="179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7">
        <f>SUM(E56:P56)</f>
        <v>0</v>
      </c>
      <c r="R56" s="179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7">
        <f t="shared" si="0"/>
        <v>0</v>
      </c>
      <c r="R61" s="179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7">
        <f t="shared" si="0"/>
        <v>0</v>
      </c>
      <c r="R62" s="178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78"/>
      <c r="E63" s="178">
        <v>7800</v>
      </c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7">
        <f t="shared" si="0"/>
        <v>7800</v>
      </c>
      <c r="R63" s="178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7">
        <f t="shared" si="0"/>
        <v>0</v>
      </c>
      <c r="R64" s="178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7">
        <f t="shared" si="0"/>
        <v>0</v>
      </c>
      <c r="R65" s="178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77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7">
        <f t="shared" si="0"/>
        <v>0</v>
      </c>
      <c r="R67" s="179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7">
        <f t="shared" si="0"/>
        <v>0</v>
      </c>
      <c r="R68" s="179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23675</v>
      </c>
      <c r="D69" s="179">
        <v>9875</v>
      </c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7">
        <f t="shared" si="0"/>
        <v>0</v>
      </c>
      <c r="R69" s="179">
        <f>100+750+2000</f>
        <v>2850</v>
      </c>
      <c r="S69" s="6">
        <f t="shared" si="1"/>
        <v>30700</v>
      </c>
      <c r="T69" s="6">
        <v>-16950</v>
      </c>
      <c r="U69" s="6">
        <f t="shared" si="2"/>
        <v>13750</v>
      </c>
      <c r="V69" s="52"/>
      <c r="W69" s="57"/>
      <c r="X69" s="46"/>
      <c r="Y69" s="61"/>
      <c r="Z69" s="66">
        <f t="shared" si="3"/>
        <v>-30700</v>
      </c>
      <c r="AA69" s="61"/>
      <c r="AB69" s="64"/>
      <c r="AC69" s="61"/>
      <c r="AD69" s="66"/>
      <c r="AE69" s="61"/>
      <c r="AF69" s="52">
        <f t="shared" si="4"/>
        <v>-30700</v>
      </c>
      <c r="AG69" s="46">
        <f t="shared" si="5"/>
        <v>-16950</v>
      </c>
      <c r="AH69" s="51">
        <f t="shared" si="6"/>
        <v>-47650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12300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7">
        <f t="shared" si="0"/>
        <v>0</v>
      </c>
      <c r="R70" s="179">
        <v>2000</v>
      </c>
      <c r="S70" s="6">
        <f t="shared" si="1"/>
        <v>10300</v>
      </c>
      <c r="T70" s="6">
        <v>-9425</v>
      </c>
      <c r="U70" s="6">
        <f t="shared" si="2"/>
        <v>875</v>
      </c>
      <c r="V70" s="52"/>
      <c r="W70" s="57"/>
      <c r="X70" s="46"/>
      <c r="Y70" s="61"/>
      <c r="Z70" s="66">
        <f t="shared" si="3"/>
        <v>-10300</v>
      </c>
      <c r="AA70" s="61"/>
      <c r="AB70" s="67"/>
      <c r="AC70" s="61"/>
      <c r="AD70" s="66"/>
      <c r="AE70" s="61"/>
      <c r="AF70" s="52">
        <f t="shared" si="4"/>
        <v>-10300</v>
      </c>
      <c r="AG70" s="46">
        <f t="shared" si="5"/>
        <v>-9425</v>
      </c>
      <c r="AH70" s="51">
        <f t="shared" si="6"/>
        <v>-19725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47600</v>
      </c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7">
        <f t="shared" si="0"/>
        <v>0</v>
      </c>
      <c r="R71" s="179">
        <v>3350</v>
      </c>
      <c r="S71" s="6">
        <f t="shared" si="1"/>
        <v>44250</v>
      </c>
      <c r="T71" s="6">
        <v>-27500</v>
      </c>
      <c r="U71" s="6">
        <f t="shared" si="2"/>
        <v>16750</v>
      </c>
      <c r="V71" s="52"/>
      <c r="W71" s="57"/>
      <c r="X71" s="46"/>
      <c r="Y71" s="61"/>
      <c r="Z71" s="66">
        <f t="shared" si="3"/>
        <v>-44250</v>
      </c>
      <c r="AA71" s="61"/>
      <c r="AB71" s="64"/>
      <c r="AC71" s="61"/>
      <c r="AD71" s="66"/>
      <c r="AE71" s="61"/>
      <c r="AF71" s="52">
        <f t="shared" si="4"/>
        <v>-44250</v>
      </c>
      <c r="AG71" s="46">
        <f t="shared" si="5"/>
        <v>-27500</v>
      </c>
      <c r="AH71" s="51">
        <f t="shared" si="6"/>
        <v>-71750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79">
        <f>SUM(C7:C72)</f>
        <v>418155</v>
      </c>
      <c r="D73" s="179">
        <f t="shared" ref="D73:V73" si="11">SUM(D7:D72)</f>
        <v>34675</v>
      </c>
      <c r="E73" s="179">
        <f t="shared" si="11"/>
        <v>7800</v>
      </c>
      <c r="F73" s="179">
        <f t="shared" si="11"/>
        <v>0</v>
      </c>
      <c r="G73" s="179">
        <f t="shared" si="11"/>
        <v>3000</v>
      </c>
      <c r="H73" s="27">
        <f t="shared" si="11"/>
        <v>0</v>
      </c>
      <c r="I73" s="179">
        <f t="shared" si="11"/>
        <v>0</v>
      </c>
      <c r="J73" s="179">
        <f t="shared" si="11"/>
        <v>0</v>
      </c>
      <c r="K73" s="179">
        <f t="shared" si="11"/>
        <v>11000</v>
      </c>
      <c r="L73" s="179">
        <f t="shared" si="11"/>
        <v>0</v>
      </c>
      <c r="M73" s="179">
        <f t="shared" si="11"/>
        <v>7500</v>
      </c>
      <c r="N73" s="179">
        <f t="shared" si="11"/>
        <v>0</v>
      </c>
      <c r="O73" s="179">
        <f t="shared" si="11"/>
        <v>0</v>
      </c>
      <c r="P73" s="179">
        <f t="shared" si="11"/>
        <v>0</v>
      </c>
      <c r="Q73" s="179">
        <f t="shared" si="11"/>
        <v>29300</v>
      </c>
      <c r="R73" s="179">
        <f t="shared" si="11"/>
        <v>55640</v>
      </c>
      <c r="S73" s="179">
        <f t="shared" si="11"/>
        <v>397190</v>
      </c>
      <c r="T73" s="179">
        <f t="shared" si="11"/>
        <v>-286670</v>
      </c>
      <c r="U73" s="179">
        <f t="shared" si="11"/>
        <v>110520</v>
      </c>
      <c r="V73" s="179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-397190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-397190</v>
      </c>
      <c r="AG73" s="43">
        <f t="shared" si="12"/>
        <v>-286670</v>
      </c>
      <c r="AH73" s="43">
        <f t="shared" si="12"/>
        <v>-683860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29300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19040+34230+16185+52765+57455+19000+30150+15160+25540+49550+7100+5800+25240+9300+63245+35645+52970+12050+29320+48350+57825+19950+25275+21485+43950+18035+46345+29300</f>
        <v>870260</v>
      </c>
      <c r="S74" s="211"/>
      <c r="T74" s="212">
        <f>R74+R75</f>
        <v>2021440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34675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28525+29600+39100+3100+62165+29250+69870+73500+69085+35150+67115+10100+28325+96100+8100+72500+38200+65350+45650+14350+51700+38400+50810+17850+28350+44260+34675</f>
        <v>1151180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55640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76510+33035+58040+13475+68820+6900+95950+62450+44990+60525+45725+16920+92525+40300+26350+54650+41350+37870+27175+44700+85615+22280+37650+23900+28150+33080+55640</f>
        <v>1234575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6000+6000+6000+18000+5600+12250+7000+2800+12000+6000+11700+6000+12000+10800+2950+9800+6000+12000+6000+12000+6000+2700+6000+6000+6000+18000+6000+12000+12000</f>
        <v>245600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</f>
        <v>15600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273700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31375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32600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960875</v>
      </c>
      <c r="S80" s="197"/>
      <c r="T80" s="22"/>
      <c r="U80" s="22"/>
      <c r="V80" s="2"/>
      <c r="X80" s="63">
        <f>SUM(X77:X79)</f>
        <v>63975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76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>
        <v>6000</v>
      </c>
      <c r="R109" s="36">
        <v>6000</v>
      </c>
      <c r="S109" s="36">
        <v>23</v>
      </c>
      <c r="T109" s="36">
        <v>37650</v>
      </c>
      <c r="U109" s="36">
        <v>23</v>
      </c>
      <c r="V109" s="36">
        <v>25275</v>
      </c>
      <c r="W109" s="36">
        <v>50810</v>
      </c>
      <c r="X109" s="36">
        <f t="shared" si="13"/>
        <v>76085</v>
      </c>
    </row>
    <row r="110" spans="15:26">
      <c r="O110" s="36"/>
      <c r="P110" s="36"/>
      <c r="Q110" s="36"/>
      <c r="R110" s="36">
        <v>6000</v>
      </c>
      <c r="S110" s="36">
        <v>24</v>
      </c>
      <c r="T110" s="36">
        <v>23900</v>
      </c>
      <c r="U110" s="36">
        <v>24</v>
      </c>
      <c r="V110" s="36">
        <v>21485</v>
      </c>
      <c r="W110" s="36">
        <v>17850</v>
      </c>
      <c r="X110" s="36">
        <f t="shared" si="13"/>
        <v>39335</v>
      </c>
    </row>
    <row r="111" spans="15:26">
      <c r="O111" s="36"/>
      <c r="P111" s="36"/>
      <c r="Q111" s="36"/>
      <c r="R111" s="36">
        <v>6000</v>
      </c>
      <c r="S111" s="36">
        <v>25</v>
      </c>
      <c r="T111" s="36"/>
      <c r="U111" s="36">
        <v>25</v>
      </c>
      <c r="V111" s="36">
        <v>43950</v>
      </c>
      <c r="W111" s="36"/>
      <c r="X111" s="36">
        <f t="shared" si="13"/>
        <v>43950</v>
      </c>
    </row>
    <row r="112" spans="15:26">
      <c r="O112" s="36"/>
      <c r="P112" s="36"/>
      <c r="Q112" s="36"/>
      <c r="R112" s="36">
        <v>12000</v>
      </c>
      <c r="S112" s="36">
        <v>26</v>
      </c>
      <c r="T112" s="36">
        <v>28150</v>
      </c>
      <c r="U112" s="36">
        <v>26</v>
      </c>
      <c r="V112" s="36">
        <v>18035</v>
      </c>
      <c r="W112" s="36">
        <v>28350</v>
      </c>
      <c r="X112" s="36">
        <f t="shared" si="13"/>
        <v>46385</v>
      </c>
    </row>
    <row r="113" spans="15:27">
      <c r="O113" s="36"/>
      <c r="P113" s="36"/>
      <c r="Q113" s="36"/>
      <c r="R113" s="36">
        <v>6000</v>
      </c>
      <c r="S113" s="36">
        <v>27</v>
      </c>
      <c r="T113" s="36">
        <v>33080</v>
      </c>
      <c r="U113" s="36">
        <v>27</v>
      </c>
      <c r="V113" s="36">
        <v>46345</v>
      </c>
      <c r="W113" s="36">
        <v>44260</v>
      </c>
      <c r="X113" s="36">
        <f t="shared" si="13"/>
        <v>90605</v>
      </c>
    </row>
    <row r="114" spans="15:27">
      <c r="O114" s="36"/>
      <c r="P114" s="36"/>
      <c r="Q114" s="36"/>
      <c r="R114" s="36">
        <v>12000</v>
      </c>
      <c r="S114" s="36">
        <v>28</v>
      </c>
      <c r="T114" s="36">
        <v>55640</v>
      </c>
      <c r="U114" s="36">
        <v>28</v>
      </c>
      <c r="V114" s="36">
        <v>29300</v>
      </c>
      <c r="W114" s="36">
        <v>34675</v>
      </c>
      <c r="X114" s="36">
        <f t="shared" si="13"/>
        <v>63975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27600</v>
      </c>
      <c r="R118" s="63">
        <f t="shared" si="14"/>
        <v>245600</v>
      </c>
      <c r="S118" s="63"/>
      <c r="T118" s="63">
        <f>SUM(T87:T117)</f>
        <v>1234575</v>
      </c>
      <c r="U118" s="63"/>
      <c r="V118" s="63">
        <f>SUM(V87:V117)</f>
        <v>870260</v>
      </c>
      <c r="W118" s="63">
        <f>SUM(W87:W117)</f>
        <v>1151180</v>
      </c>
      <c r="X118" s="36">
        <f>SUM(V118:W118)</f>
        <v>2021440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3" activePane="bottomRight" state="frozen"/>
      <selection activeCell="O32" sqref="O32"/>
      <selection pane="topRight" activeCell="O32" sqref="O32"/>
      <selection pane="bottomLeft" activeCell="O32" sqref="O32"/>
      <selection pane="bottomRight" activeCell="M73" sqref="M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190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157</v>
      </c>
      <c r="P6" s="171" t="s">
        <v>187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12750</v>
      </c>
      <c r="D7" s="6"/>
      <c r="E7" s="6"/>
      <c r="F7" s="6"/>
      <c r="G7" s="6">
        <v>7000</v>
      </c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7000</v>
      </c>
      <c r="R7" s="6">
        <f>100+1000</f>
        <v>1100</v>
      </c>
      <c r="S7" s="6">
        <f>C7+D7-R7</f>
        <v>11650</v>
      </c>
      <c r="T7" s="34">
        <v>-9150</v>
      </c>
      <c r="U7" s="6">
        <f>S7+T7</f>
        <v>2500</v>
      </c>
      <c r="V7" s="52"/>
      <c r="W7" s="57"/>
      <c r="X7" s="46"/>
      <c r="Y7" s="65"/>
      <c r="Z7" s="66">
        <f>W7-S7</f>
        <v>-11650</v>
      </c>
      <c r="AA7" s="65"/>
      <c r="AB7" s="67"/>
      <c r="AC7" s="65"/>
      <c r="AD7" s="47"/>
      <c r="AE7" s="61"/>
      <c r="AF7" s="52">
        <f>SUM(Y7:AE7)</f>
        <v>-11650</v>
      </c>
      <c r="AG7" s="46">
        <f>U7+AF7</f>
        <v>-9150</v>
      </c>
      <c r="AH7" s="51">
        <f>AG7-S7</f>
        <v>-20800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32950</v>
      </c>
      <c r="D8" s="6"/>
      <c r="E8" s="6"/>
      <c r="F8" s="6"/>
      <c r="G8" s="6">
        <v>9950</v>
      </c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9950</v>
      </c>
      <c r="R8" s="6">
        <f>50+2650</f>
        <v>2700</v>
      </c>
      <c r="S8" s="6">
        <f t="shared" ref="S8:S71" si="1">C8+D8-R8</f>
        <v>30250</v>
      </c>
      <c r="T8" s="6">
        <v>-24350</v>
      </c>
      <c r="U8" s="6">
        <f t="shared" ref="U8:U71" si="2">S8+T8</f>
        <v>5900</v>
      </c>
      <c r="V8" s="52"/>
      <c r="W8" s="57"/>
      <c r="X8" s="46"/>
      <c r="Y8" s="61"/>
      <c r="Z8" s="66">
        <f t="shared" ref="Z8:Z71" si="3">W8-S8</f>
        <v>-30250</v>
      </c>
      <c r="AA8" s="61"/>
      <c r="AB8" s="67"/>
      <c r="AC8" s="61"/>
      <c r="AD8" s="66"/>
      <c r="AE8" s="61"/>
      <c r="AF8" s="52">
        <f t="shared" ref="AF8:AF71" si="4">SUM(Y8:AE8)</f>
        <v>-30250</v>
      </c>
      <c r="AG8" s="46">
        <f t="shared" ref="AG8:AG71" si="5">U8+AF8</f>
        <v>-24350</v>
      </c>
      <c r="AH8" s="51">
        <f t="shared" ref="AH8:AH71" si="6">AG8-S8</f>
        <v>-54600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9200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9200</v>
      </c>
      <c r="T11" s="6">
        <v>-3750</v>
      </c>
      <c r="U11" s="6">
        <f t="shared" si="2"/>
        <v>5450</v>
      </c>
      <c r="V11" s="52"/>
      <c r="W11" s="57"/>
      <c r="X11" s="46"/>
      <c r="Y11" s="61"/>
      <c r="Z11" s="66">
        <f t="shared" si="3"/>
        <v>-9200</v>
      </c>
      <c r="AA11" s="61"/>
      <c r="AB11" s="67"/>
      <c r="AC11" s="61"/>
      <c r="AD11" s="66"/>
      <c r="AE11" s="61"/>
      <c r="AF11" s="52">
        <f t="shared" si="4"/>
        <v>-9200</v>
      </c>
      <c r="AG11" s="46">
        <f t="shared" si="5"/>
        <v>-3750</v>
      </c>
      <c r="AH11" s="51">
        <f t="shared" si="6"/>
        <v>-12950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-2550</v>
      </c>
      <c r="D12" s="6">
        <v>2950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600+900</f>
        <v>1500</v>
      </c>
      <c r="S12" s="6">
        <f t="shared" si="1"/>
        <v>-1100</v>
      </c>
      <c r="T12" s="6">
        <v>4700</v>
      </c>
      <c r="U12" s="6">
        <f t="shared" si="2"/>
        <v>3600</v>
      </c>
      <c r="V12" s="52"/>
      <c r="W12" s="57"/>
      <c r="X12" s="46"/>
      <c r="Y12" s="61"/>
      <c r="Z12" s="66">
        <f t="shared" si="3"/>
        <v>1100</v>
      </c>
      <c r="AA12" s="61"/>
      <c r="AB12" s="67"/>
      <c r="AC12" s="61"/>
      <c r="AD12" s="66"/>
      <c r="AE12" s="61"/>
      <c r="AF12" s="52">
        <f t="shared" si="4"/>
        <v>1100</v>
      </c>
      <c r="AG12" s="46">
        <f t="shared" si="5"/>
        <v>4700</v>
      </c>
      <c r="AH12" s="51">
        <f t="shared" si="6"/>
        <v>5800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11960</v>
      </c>
      <c r="D14" s="6">
        <f>12200+3000+9850</f>
        <v>25050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6000+1400+1000+1000+6000</f>
        <v>15400</v>
      </c>
      <c r="S14" s="6">
        <f t="shared" si="1"/>
        <v>21610</v>
      </c>
      <c r="T14" s="6">
        <v>-5760</v>
      </c>
      <c r="U14" s="6">
        <f t="shared" si="2"/>
        <v>15850</v>
      </c>
      <c r="V14" s="52"/>
      <c r="W14" s="57"/>
      <c r="X14" s="46"/>
      <c r="Y14" s="61"/>
      <c r="Z14" s="66">
        <f t="shared" si="3"/>
        <v>-21610</v>
      </c>
      <c r="AA14" s="61"/>
      <c r="AB14" s="66"/>
      <c r="AC14" s="61"/>
      <c r="AD14" s="66"/>
      <c r="AE14" s="61"/>
      <c r="AF14" s="52">
        <f t="shared" si="4"/>
        <v>-21610</v>
      </c>
      <c r="AG14" s="46">
        <f t="shared" si="5"/>
        <v>-5760</v>
      </c>
      <c r="AH14" s="51">
        <f t="shared" si="6"/>
        <v>-27370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12800</v>
      </c>
      <c r="D16" s="6">
        <v>6800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f>5000+2350</f>
        <v>7350</v>
      </c>
      <c r="S16" s="6">
        <f t="shared" si="1"/>
        <v>12250</v>
      </c>
      <c r="T16" s="34">
        <v>-10050</v>
      </c>
      <c r="U16" s="6">
        <f t="shared" si="2"/>
        <v>2200</v>
      </c>
      <c r="V16" s="52"/>
      <c r="W16" s="57"/>
      <c r="X16" s="46"/>
      <c r="Y16" s="61"/>
      <c r="Z16" s="66">
        <f t="shared" si="3"/>
        <v>-12250</v>
      </c>
      <c r="AA16" s="61"/>
      <c r="AB16" s="67"/>
      <c r="AC16" s="61"/>
      <c r="AD16" s="47"/>
      <c r="AE16" s="61"/>
      <c r="AF16" s="52">
        <f t="shared" si="4"/>
        <v>-12250</v>
      </c>
      <c r="AG16" s="46">
        <f t="shared" si="5"/>
        <v>-10050</v>
      </c>
      <c r="AH16" s="51">
        <f t="shared" si="6"/>
        <v>-22300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7700</v>
      </c>
      <c r="D17" s="6">
        <v>6000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5000+250+1000</f>
        <v>6250</v>
      </c>
      <c r="S17" s="6">
        <f t="shared" si="1"/>
        <v>7450</v>
      </c>
      <c r="T17" s="6">
        <v>-5000</v>
      </c>
      <c r="U17" s="6">
        <f t="shared" si="2"/>
        <v>2450</v>
      </c>
      <c r="V17" s="52"/>
      <c r="W17" s="57"/>
      <c r="X17" s="46"/>
      <c r="Y17" s="61"/>
      <c r="Z17" s="66">
        <f t="shared" si="3"/>
        <v>-7450</v>
      </c>
      <c r="AA17" s="61"/>
      <c r="AB17" s="66"/>
      <c r="AC17" s="61"/>
      <c r="AD17" s="66"/>
      <c r="AE17" s="61"/>
      <c r="AF17" s="52">
        <f t="shared" si="4"/>
        <v>-7450</v>
      </c>
      <c r="AG17" s="46">
        <f t="shared" si="5"/>
        <v>-5000</v>
      </c>
      <c r="AH17" s="51">
        <f t="shared" si="6"/>
        <v>-12450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 t="s">
        <v>191</v>
      </c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7">
        <f t="shared" si="0"/>
        <v>0</v>
      </c>
      <c r="R22" s="181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7">
        <f t="shared" si="0"/>
        <v>0</v>
      </c>
      <c r="R24" s="181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7">
        <f t="shared" si="0"/>
        <v>0</v>
      </c>
      <c r="R25" s="181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7">
        <f t="shared" si="0"/>
        <v>0</v>
      </c>
      <c r="R26" s="181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7">
        <f t="shared" si="0"/>
        <v>0</v>
      </c>
      <c r="R27" s="181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5840</v>
      </c>
      <c r="D28" s="6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7">
        <f t="shared" si="0"/>
        <v>0</v>
      </c>
      <c r="R28" s="181"/>
      <c r="S28" s="6">
        <f t="shared" si="1"/>
        <v>5840</v>
      </c>
      <c r="T28" s="6">
        <f>-40-100</f>
        <v>-140</v>
      </c>
      <c r="U28" s="6">
        <f t="shared" si="2"/>
        <v>5700</v>
      </c>
      <c r="V28" s="52"/>
      <c r="W28" s="57"/>
      <c r="X28" s="46"/>
      <c r="Y28" s="61"/>
      <c r="Z28" s="66">
        <f t="shared" si="3"/>
        <v>-5840</v>
      </c>
      <c r="AA28" s="61"/>
      <c r="AB28" s="67"/>
      <c r="AC28" s="61"/>
      <c r="AD28" s="66"/>
      <c r="AE28" s="61"/>
      <c r="AF28" s="52">
        <f t="shared" si="4"/>
        <v>-5840</v>
      </c>
      <c r="AG28" s="46">
        <f t="shared" si="5"/>
        <v>-140</v>
      </c>
      <c r="AH28" s="51">
        <f t="shared" si="6"/>
        <v>-5980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3480</v>
      </c>
      <c r="D29" s="6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7">
        <f t="shared" si="0"/>
        <v>0</v>
      </c>
      <c r="R29" s="181"/>
      <c r="S29" s="6">
        <f t="shared" si="1"/>
        <v>3480</v>
      </c>
      <c r="T29" s="6">
        <f>860+100</f>
        <v>960</v>
      </c>
      <c r="U29" s="6">
        <f t="shared" si="2"/>
        <v>4440</v>
      </c>
      <c r="V29" s="52"/>
      <c r="W29" s="57"/>
      <c r="X29" s="46"/>
      <c r="Y29" s="61"/>
      <c r="Z29" s="66">
        <f t="shared" si="3"/>
        <v>-3480</v>
      </c>
      <c r="AA29" s="61"/>
      <c r="AB29" s="67"/>
      <c r="AC29" s="61"/>
      <c r="AD29" s="66"/>
      <c r="AE29" s="61"/>
      <c r="AF29" s="52">
        <f t="shared" si="4"/>
        <v>-3480</v>
      </c>
      <c r="AG29" s="46">
        <f t="shared" si="5"/>
        <v>960</v>
      </c>
      <c r="AH29" s="51">
        <f t="shared" si="6"/>
        <v>-2520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19490</v>
      </c>
      <c r="D30" s="6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7">
        <f t="shared" si="0"/>
        <v>0</v>
      </c>
      <c r="R30" s="181"/>
      <c r="S30" s="6">
        <f t="shared" si="1"/>
        <v>19490</v>
      </c>
      <c r="T30" s="6">
        <v>-18970</v>
      </c>
      <c r="U30" s="6">
        <f t="shared" si="2"/>
        <v>520</v>
      </c>
      <c r="V30" s="52"/>
      <c r="W30" s="57"/>
      <c r="X30" s="46"/>
      <c r="Y30" s="61"/>
      <c r="Z30" s="66">
        <f t="shared" si="3"/>
        <v>-19490</v>
      </c>
      <c r="AA30" s="61"/>
      <c r="AB30" s="67"/>
      <c r="AC30" s="61"/>
      <c r="AD30" s="66"/>
      <c r="AE30" s="61"/>
      <c r="AF30" s="52">
        <f t="shared" si="4"/>
        <v>-19490</v>
      </c>
      <c r="AG30" s="46">
        <f t="shared" si="5"/>
        <v>-18970</v>
      </c>
      <c r="AH30" s="51">
        <f t="shared" si="6"/>
        <v>-38460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18640</v>
      </c>
      <c r="D31" s="6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7">
        <f t="shared" si="0"/>
        <v>0</v>
      </c>
      <c r="R31" s="181"/>
      <c r="S31" s="6">
        <f t="shared" si="1"/>
        <v>18640</v>
      </c>
      <c r="T31" s="6">
        <v>-17180</v>
      </c>
      <c r="U31" s="6">
        <f t="shared" si="2"/>
        <v>1460</v>
      </c>
      <c r="V31" s="52"/>
      <c r="W31" s="57"/>
      <c r="X31" s="46"/>
      <c r="Y31" s="61"/>
      <c r="Z31" s="66">
        <f t="shared" si="3"/>
        <v>-18640</v>
      </c>
      <c r="AA31" s="61"/>
      <c r="AB31" s="64"/>
      <c r="AC31" s="61"/>
      <c r="AD31" s="66"/>
      <c r="AE31" s="61"/>
      <c r="AF31" s="52">
        <f t="shared" si="4"/>
        <v>-18640</v>
      </c>
      <c r="AG31" s="46">
        <f t="shared" si="5"/>
        <v>-17180</v>
      </c>
      <c r="AH31" s="51">
        <f t="shared" si="6"/>
        <v>-35820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21160</v>
      </c>
      <c r="D32" s="6"/>
      <c r="E32" s="181"/>
      <c r="F32" s="181"/>
      <c r="G32" s="181"/>
      <c r="H32" s="181"/>
      <c r="I32" s="181"/>
      <c r="J32" s="181"/>
      <c r="K32" s="181">
        <v>6000</v>
      </c>
      <c r="L32" s="181"/>
      <c r="M32" s="181">
        <v>2500</v>
      </c>
      <c r="N32" s="181"/>
      <c r="O32" s="6"/>
      <c r="P32" s="6"/>
      <c r="Q32" s="7">
        <f>SUM(E32:P32)</f>
        <v>8500</v>
      </c>
      <c r="R32" s="181"/>
      <c r="S32" s="6">
        <f t="shared" si="1"/>
        <v>21160</v>
      </c>
      <c r="T32" s="6">
        <v>-18280</v>
      </c>
      <c r="U32" s="6">
        <f t="shared" si="2"/>
        <v>2880</v>
      </c>
      <c r="V32" s="52"/>
      <c r="W32" s="57"/>
      <c r="X32" s="46"/>
      <c r="Y32" s="61"/>
      <c r="Z32" s="66">
        <f t="shared" si="3"/>
        <v>-21160</v>
      </c>
      <c r="AA32" s="61"/>
      <c r="AB32" s="67"/>
      <c r="AC32" s="61"/>
      <c r="AD32" s="66"/>
      <c r="AE32" s="61"/>
      <c r="AF32" s="52">
        <f t="shared" si="4"/>
        <v>-21160</v>
      </c>
      <c r="AG32" s="46">
        <f t="shared" si="5"/>
        <v>-18280</v>
      </c>
      <c r="AH32" s="51">
        <f t="shared" si="6"/>
        <v>-39440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7">
        <f t="shared" si="0"/>
        <v>0</v>
      </c>
      <c r="R33" s="181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1760</v>
      </c>
      <c r="D34" s="6"/>
      <c r="E34" s="181"/>
      <c r="F34" s="181"/>
      <c r="G34" s="181"/>
      <c r="H34" s="181"/>
      <c r="I34" s="181"/>
      <c r="J34" s="181"/>
      <c r="K34" s="6"/>
      <c r="L34" s="181"/>
      <c r="M34" s="181"/>
      <c r="N34" s="181"/>
      <c r="O34" s="181"/>
      <c r="P34" s="181"/>
      <c r="Q34" s="7">
        <f t="shared" si="0"/>
        <v>0</v>
      </c>
      <c r="R34" s="181"/>
      <c r="S34" s="6">
        <f t="shared" si="1"/>
        <v>1760</v>
      </c>
      <c r="T34" s="6">
        <v>2960</v>
      </c>
      <c r="U34" s="6">
        <f t="shared" si="2"/>
        <v>4720</v>
      </c>
      <c r="V34" s="52"/>
      <c r="W34" s="57"/>
      <c r="X34" s="46"/>
      <c r="Y34" s="61"/>
      <c r="Z34" s="66">
        <f t="shared" si="3"/>
        <v>-1760</v>
      </c>
      <c r="AA34" s="61"/>
      <c r="AB34" s="67"/>
      <c r="AC34" s="61"/>
      <c r="AD34" s="66"/>
      <c r="AE34" s="61"/>
      <c r="AF34" s="52">
        <f t="shared" si="4"/>
        <v>-1760</v>
      </c>
      <c r="AG34" s="46">
        <f t="shared" si="5"/>
        <v>2960</v>
      </c>
      <c r="AH34" s="51">
        <f t="shared" si="6"/>
        <v>1200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81"/>
      <c r="F35" s="181"/>
      <c r="G35" s="181"/>
      <c r="H35" s="181"/>
      <c r="I35" s="181"/>
      <c r="J35" s="181"/>
      <c r="K35" s="6"/>
      <c r="L35" s="181"/>
      <c r="M35" s="181"/>
      <c r="N35" s="181"/>
      <c r="O35" s="181"/>
      <c r="P35" s="181"/>
      <c r="Q35" s="7">
        <f t="shared" si="0"/>
        <v>0</v>
      </c>
      <c r="R35" s="181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7">
        <f t="shared" si="0"/>
        <v>0</v>
      </c>
      <c r="R36" s="181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7">
        <f t="shared" si="0"/>
        <v>0</v>
      </c>
      <c r="R37" s="181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1880</v>
      </c>
      <c r="D38" s="6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7">
        <f>SUM(E38:P38)</f>
        <v>0</v>
      </c>
      <c r="R38" s="181"/>
      <c r="S38" s="6">
        <f t="shared" si="1"/>
        <v>1880</v>
      </c>
      <c r="T38" s="6">
        <v>-1340</v>
      </c>
      <c r="U38" s="6">
        <f t="shared" si="2"/>
        <v>540</v>
      </c>
      <c r="V38" s="52"/>
      <c r="W38" s="57"/>
      <c r="X38" s="46"/>
      <c r="Y38" s="61"/>
      <c r="Z38" s="66">
        <f t="shared" si="3"/>
        <v>-1880</v>
      </c>
      <c r="AA38" s="61"/>
      <c r="AB38" s="64"/>
      <c r="AC38" s="61"/>
      <c r="AD38" s="66"/>
      <c r="AE38" s="61"/>
      <c r="AF38" s="52">
        <f t="shared" si="4"/>
        <v>-1880</v>
      </c>
      <c r="AG38" s="46">
        <f t="shared" si="5"/>
        <v>-1340</v>
      </c>
      <c r="AH38" s="51">
        <f t="shared" si="6"/>
        <v>-3220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7">
        <f>SUM(E39:P39)</f>
        <v>0</v>
      </c>
      <c r="R39" s="181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181"/>
      <c r="F40" s="181"/>
      <c r="G40" s="181"/>
      <c r="H40" s="27"/>
      <c r="I40" s="181"/>
      <c r="J40" s="181"/>
      <c r="K40" s="181"/>
      <c r="L40" s="181"/>
      <c r="M40" s="181"/>
      <c r="N40" s="181"/>
      <c r="O40" s="181"/>
      <c r="P40" s="181"/>
      <c r="Q40" s="7">
        <f>SUM(E40:P40)</f>
        <v>0</v>
      </c>
      <c r="R40" s="181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7">
        <f>SUM(E41:P41)</f>
        <v>0</v>
      </c>
      <c r="R41" s="181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7">
        <f>SUM(E42:P42)</f>
        <v>0</v>
      </c>
      <c r="R42" s="181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7">
        <f t="shared" si="0"/>
        <v>0</v>
      </c>
      <c r="R44" s="181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7">
        <f t="shared" si="0"/>
        <v>0</v>
      </c>
      <c r="R45" s="181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7">
        <f t="shared" si="0"/>
        <v>0</v>
      </c>
      <c r="R46" s="181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7">
        <f t="shared" si="0"/>
        <v>0</v>
      </c>
      <c r="R47" s="181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7">
        <f t="shared" si="0"/>
        <v>0</v>
      </c>
      <c r="R48" s="181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7">
        <f t="shared" si="0"/>
        <v>0</v>
      </c>
      <c r="R49" s="181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5950</v>
      </c>
      <c r="D50" s="6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7">
        <f t="shared" si="0"/>
        <v>0</v>
      </c>
      <c r="R50" s="181"/>
      <c r="S50" s="6">
        <f t="shared" si="1"/>
        <v>5950</v>
      </c>
      <c r="T50" s="6">
        <f>-12000+8615</f>
        <v>-3385</v>
      </c>
      <c r="U50" s="6">
        <f t="shared" si="2"/>
        <v>2565</v>
      </c>
      <c r="V50" s="52"/>
      <c r="W50" s="57"/>
      <c r="X50" s="46"/>
      <c r="Y50" s="61"/>
      <c r="Z50" s="66">
        <f t="shared" si="3"/>
        <v>-5950</v>
      </c>
      <c r="AA50" s="61"/>
      <c r="AB50" s="64"/>
      <c r="AC50" s="61"/>
      <c r="AD50" s="66"/>
      <c r="AE50" s="61"/>
      <c r="AF50" s="52">
        <f t="shared" si="4"/>
        <v>-5950</v>
      </c>
      <c r="AG50" s="46">
        <f t="shared" si="5"/>
        <v>-3385</v>
      </c>
      <c r="AH50" s="51">
        <f t="shared" si="6"/>
        <v>-9335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7">
        <f t="shared" si="0"/>
        <v>0</v>
      </c>
      <c r="R51" s="181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7">
        <f t="shared" si="0"/>
        <v>0</v>
      </c>
      <c r="R52" s="181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13025</v>
      </c>
      <c r="D53" s="6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7">
        <f t="shared" si="0"/>
        <v>0</v>
      </c>
      <c r="R53" s="181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3750</v>
      </c>
      <c r="D54" s="6"/>
      <c r="E54" s="181"/>
      <c r="F54" s="181"/>
      <c r="G54" s="181"/>
      <c r="H54" s="181"/>
      <c r="I54" s="181"/>
      <c r="J54" s="181"/>
      <c r="K54" s="181">
        <v>7000</v>
      </c>
      <c r="L54" s="181"/>
      <c r="M54" s="181"/>
      <c r="N54" s="181"/>
      <c r="O54" s="181"/>
      <c r="P54" s="181"/>
      <c r="Q54" s="7">
        <f t="shared" si="0"/>
        <v>7000</v>
      </c>
      <c r="R54" s="181"/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7">
        <f t="shared" si="0"/>
        <v>0</v>
      </c>
      <c r="R55" s="181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7">
        <f>SUM(E56:P56)</f>
        <v>0</v>
      </c>
      <c r="R56" s="181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7">
        <f t="shared" si="0"/>
        <v>0</v>
      </c>
      <c r="R61" s="181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7">
        <f t="shared" si="0"/>
        <v>0</v>
      </c>
      <c r="R62" s="180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7">
        <f t="shared" si="0"/>
        <v>0</v>
      </c>
      <c r="R63" s="180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7">
        <f t="shared" si="0"/>
        <v>0</v>
      </c>
      <c r="R64" s="180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7">
        <f t="shared" si="0"/>
        <v>0</v>
      </c>
      <c r="R65" s="180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82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7">
        <f t="shared" si="0"/>
        <v>0</v>
      </c>
      <c r="R67" s="181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7">
        <f t="shared" si="0"/>
        <v>0</v>
      </c>
      <c r="R68" s="181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30700</v>
      </c>
      <c r="D69" s="181">
        <f>5500+2500</f>
        <v>8000</v>
      </c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7">
        <f t="shared" si="0"/>
        <v>0</v>
      </c>
      <c r="R69" s="181">
        <f>8000+375+1000</f>
        <v>9375</v>
      </c>
      <c r="S69" s="6">
        <f t="shared" si="1"/>
        <v>29325</v>
      </c>
      <c r="T69" s="6">
        <v>-16950</v>
      </c>
      <c r="U69" s="6">
        <f t="shared" si="2"/>
        <v>12375</v>
      </c>
      <c r="V69" s="52"/>
      <c r="W69" s="57"/>
      <c r="X69" s="46"/>
      <c r="Y69" s="61"/>
      <c r="Z69" s="66">
        <f t="shared" si="3"/>
        <v>-29325</v>
      </c>
      <c r="AA69" s="61"/>
      <c r="AB69" s="64"/>
      <c r="AC69" s="61"/>
      <c r="AD69" s="66"/>
      <c r="AE69" s="61"/>
      <c r="AF69" s="52">
        <f t="shared" si="4"/>
        <v>-29325</v>
      </c>
      <c r="AG69" s="46">
        <f t="shared" si="5"/>
        <v>-16950</v>
      </c>
      <c r="AH69" s="51">
        <f t="shared" si="6"/>
        <v>-46275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10300</v>
      </c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7">
        <f t="shared" si="0"/>
        <v>0</v>
      </c>
      <c r="R70" s="181">
        <v>750</v>
      </c>
      <c r="S70" s="6">
        <f t="shared" si="1"/>
        <v>9550</v>
      </c>
      <c r="T70" s="6">
        <v>-9425</v>
      </c>
      <c r="U70" s="6">
        <f t="shared" si="2"/>
        <v>125</v>
      </c>
      <c r="V70" s="52"/>
      <c r="W70" s="57"/>
      <c r="X70" s="46"/>
      <c r="Y70" s="61"/>
      <c r="Z70" s="66">
        <f t="shared" si="3"/>
        <v>-9550</v>
      </c>
      <c r="AA70" s="61"/>
      <c r="AB70" s="67"/>
      <c r="AC70" s="61"/>
      <c r="AD70" s="66"/>
      <c r="AE70" s="61"/>
      <c r="AF70" s="52">
        <f t="shared" si="4"/>
        <v>-9550</v>
      </c>
      <c r="AG70" s="46">
        <f t="shared" si="5"/>
        <v>-9425</v>
      </c>
      <c r="AH70" s="51">
        <f t="shared" si="6"/>
        <v>-18975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44250</v>
      </c>
      <c r="D71" s="181">
        <v>4075</v>
      </c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7">
        <f t="shared" si="0"/>
        <v>0</v>
      </c>
      <c r="R71" s="181">
        <f>10000+125+875+1000</f>
        <v>12000</v>
      </c>
      <c r="S71" s="6">
        <f t="shared" si="1"/>
        <v>36325</v>
      </c>
      <c r="T71" s="6">
        <v>-27500</v>
      </c>
      <c r="U71" s="6">
        <f t="shared" si="2"/>
        <v>8825</v>
      </c>
      <c r="V71" s="52"/>
      <c r="W71" s="57"/>
      <c r="X71" s="46"/>
      <c r="Y71" s="61"/>
      <c r="Z71" s="66">
        <f t="shared" si="3"/>
        <v>-36325</v>
      </c>
      <c r="AA71" s="61"/>
      <c r="AB71" s="64"/>
      <c r="AC71" s="61"/>
      <c r="AD71" s="66"/>
      <c r="AE71" s="61"/>
      <c r="AF71" s="52">
        <f t="shared" si="4"/>
        <v>-36325</v>
      </c>
      <c r="AG71" s="46">
        <f t="shared" si="5"/>
        <v>-27500</v>
      </c>
      <c r="AH71" s="51">
        <f t="shared" si="6"/>
        <v>-63825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81">
        <f>SUM(C7:C72)</f>
        <v>397190</v>
      </c>
      <c r="D73" s="181">
        <f t="shared" ref="D73:V73" si="11">SUM(D7:D72)</f>
        <v>52875</v>
      </c>
      <c r="E73" s="181">
        <f t="shared" si="11"/>
        <v>0</v>
      </c>
      <c r="F73" s="181">
        <f t="shared" si="11"/>
        <v>0</v>
      </c>
      <c r="G73" s="181">
        <f t="shared" si="11"/>
        <v>16950</v>
      </c>
      <c r="H73" s="27">
        <f t="shared" si="11"/>
        <v>0</v>
      </c>
      <c r="I73" s="181">
        <f t="shared" si="11"/>
        <v>0</v>
      </c>
      <c r="J73" s="181">
        <f t="shared" si="11"/>
        <v>0</v>
      </c>
      <c r="K73" s="181">
        <f t="shared" si="11"/>
        <v>13000</v>
      </c>
      <c r="L73" s="181">
        <f t="shared" si="11"/>
        <v>0</v>
      </c>
      <c r="M73" s="181">
        <f t="shared" si="11"/>
        <v>2500</v>
      </c>
      <c r="N73" s="181">
        <f t="shared" si="11"/>
        <v>0</v>
      </c>
      <c r="O73" s="181">
        <f t="shared" si="11"/>
        <v>0</v>
      </c>
      <c r="P73" s="181">
        <f t="shared" si="11"/>
        <v>0</v>
      </c>
      <c r="Q73" s="181">
        <f t="shared" si="11"/>
        <v>32450</v>
      </c>
      <c r="R73" s="181">
        <f t="shared" si="11"/>
        <v>56425</v>
      </c>
      <c r="S73" s="181">
        <f t="shared" si="11"/>
        <v>393640</v>
      </c>
      <c r="T73" s="181">
        <f t="shared" si="11"/>
        <v>-286670</v>
      </c>
      <c r="U73" s="181">
        <f t="shared" si="11"/>
        <v>106970</v>
      </c>
      <c r="V73" s="181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-393640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-393640</v>
      </c>
      <c r="AG73" s="43">
        <f t="shared" si="12"/>
        <v>-286670</v>
      </c>
      <c r="AH73" s="43">
        <f t="shared" si="12"/>
        <v>-680310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32450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19040+34230+16185+52765+57455+19000+30150+15160+25540+49550+7100+5800+25240+9300+63245+35645+52970+12050+29320+48350+57825+19950+25275+21485+43950+18035+46345+29300</f>
        <v>870260</v>
      </c>
      <c r="S74" s="211"/>
      <c r="T74" s="212">
        <f>R74+R75</f>
        <v>2021440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52875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28525+29600+39100+3100+62165+29250+69870+73500+69085+35150+67115+10100+28325+96100+8100+72500+38200+65350+45650+14350+51700+38400+50810+17850+28350+44260+34675</f>
        <v>1151180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56425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76510+33035+58040+13475+68820+6900+95950+62450+44990+60525+45725+16920+92525+40300+26350+54650+41350+37870+27175+44700+85615+22280+37650+23900+28150+33080+55640</f>
        <v>1234575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6000+6000+6000+18000+5600+12250+7000+2800+12000+6000+11700+6000+12000+10800+2950+9800+6000+12000+6000+12000+6000+2700+6000+6000+6000+18000+6000+12000+12000</f>
        <v>245600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</f>
        <v>15600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273700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43100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42225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960875</v>
      </c>
      <c r="S80" s="197"/>
      <c r="T80" s="22"/>
      <c r="U80" s="22"/>
      <c r="V80" s="2"/>
      <c r="X80" s="63">
        <f>SUM(X77:X79)</f>
        <v>85325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83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>
        <v>6000</v>
      </c>
      <c r="R109" s="36">
        <v>6000</v>
      </c>
      <c r="S109" s="36">
        <v>23</v>
      </c>
      <c r="T109" s="36">
        <v>37650</v>
      </c>
      <c r="U109" s="36">
        <v>23</v>
      </c>
      <c r="V109" s="36">
        <v>25275</v>
      </c>
      <c r="W109" s="36">
        <v>50810</v>
      </c>
      <c r="X109" s="36">
        <f t="shared" si="13"/>
        <v>76085</v>
      </c>
    </row>
    <row r="110" spans="15:26">
      <c r="O110" s="36"/>
      <c r="P110" s="36"/>
      <c r="Q110" s="36"/>
      <c r="R110" s="36">
        <v>6000</v>
      </c>
      <c r="S110" s="36">
        <v>24</v>
      </c>
      <c r="T110" s="36">
        <v>23900</v>
      </c>
      <c r="U110" s="36">
        <v>24</v>
      </c>
      <c r="V110" s="36">
        <v>21485</v>
      </c>
      <c r="W110" s="36">
        <v>17850</v>
      </c>
      <c r="X110" s="36">
        <f t="shared" si="13"/>
        <v>39335</v>
      </c>
    </row>
    <row r="111" spans="15:26">
      <c r="O111" s="36"/>
      <c r="P111" s="36"/>
      <c r="Q111" s="36"/>
      <c r="R111" s="36">
        <v>6000</v>
      </c>
      <c r="S111" s="36">
        <v>25</v>
      </c>
      <c r="T111" s="36"/>
      <c r="U111" s="36">
        <v>25</v>
      </c>
      <c r="V111" s="36">
        <v>43950</v>
      </c>
      <c r="W111" s="36"/>
      <c r="X111" s="36">
        <f t="shared" si="13"/>
        <v>43950</v>
      </c>
    </row>
    <row r="112" spans="15:26">
      <c r="O112" s="36"/>
      <c r="P112" s="36"/>
      <c r="Q112" s="36"/>
      <c r="R112" s="36">
        <v>12000</v>
      </c>
      <c r="S112" s="36">
        <v>26</v>
      </c>
      <c r="T112" s="36">
        <v>28150</v>
      </c>
      <c r="U112" s="36">
        <v>26</v>
      </c>
      <c r="V112" s="36">
        <v>18035</v>
      </c>
      <c r="W112" s="36">
        <v>28350</v>
      </c>
      <c r="X112" s="36">
        <f t="shared" si="13"/>
        <v>46385</v>
      </c>
    </row>
    <row r="113" spans="15:27">
      <c r="O113" s="36"/>
      <c r="P113" s="36"/>
      <c r="Q113" s="36"/>
      <c r="R113" s="36">
        <v>6000</v>
      </c>
      <c r="S113" s="36">
        <v>27</v>
      </c>
      <c r="T113" s="36">
        <v>33080</v>
      </c>
      <c r="U113" s="36">
        <v>27</v>
      </c>
      <c r="V113" s="36">
        <v>46345</v>
      </c>
      <c r="W113" s="36">
        <v>44260</v>
      </c>
      <c r="X113" s="36">
        <f t="shared" si="13"/>
        <v>90605</v>
      </c>
    </row>
    <row r="114" spans="15:27">
      <c r="O114" s="36"/>
      <c r="P114" s="36"/>
      <c r="Q114" s="36"/>
      <c r="R114" s="36">
        <v>12000</v>
      </c>
      <c r="S114" s="36">
        <v>28</v>
      </c>
      <c r="T114" s="36">
        <v>55640</v>
      </c>
      <c r="U114" s="36">
        <v>28</v>
      </c>
      <c r="V114" s="36">
        <v>29300</v>
      </c>
      <c r="W114" s="36">
        <v>34675</v>
      </c>
      <c r="X114" s="36">
        <f t="shared" si="13"/>
        <v>63975</v>
      </c>
    </row>
    <row r="115" spans="15:27">
      <c r="O115" s="36"/>
      <c r="P115" s="36"/>
      <c r="Q115" s="36"/>
      <c r="R115" s="36">
        <v>6000</v>
      </c>
      <c r="S115" s="36">
        <v>29</v>
      </c>
      <c r="T115" s="36">
        <v>56425</v>
      </c>
      <c r="U115" s="36">
        <v>29</v>
      </c>
      <c r="V115" s="36">
        <v>32450</v>
      </c>
      <c r="W115" s="36">
        <v>52875</v>
      </c>
      <c r="X115" s="36">
        <f t="shared" si="13"/>
        <v>85325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27600</v>
      </c>
      <c r="R118" s="63">
        <f t="shared" si="14"/>
        <v>251600</v>
      </c>
      <c r="S118" s="63"/>
      <c r="T118" s="63">
        <f>SUM(T87:T117)</f>
        <v>1291000</v>
      </c>
      <c r="U118" s="63"/>
      <c r="V118" s="63">
        <f>SUM(V87:V117)</f>
        <v>902710</v>
      </c>
      <c r="W118" s="63">
        <f>SUM(W87:W117)</f>
        <v>1204055</v>
      </c>
      <c r="X118" s="36">
        <f>SUM(V118:W118)</f>
        <v>2106765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G73" sqref="G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152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146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15250</v>
      </c>
      <c r="D7" s="6">
        <v>2850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500</v>
      </c>
      <c r="S7" s="6">
        <f>C7+D7-R7</f>
        <v>17600</v>
      </c>
      <c r="T7" s="34">
        <v>-9150</v>
      </c>
      <c r="U7" s="6">
        <f>S7+T7</f>
        <v>8450</v>
      </c>
      <c r="V7" s="52"/>
      <c r="W7" s="57"/>
      <c r="X7" s="46"/>
      <c r="Y7" s="65"/>
      <c r="Z7" s="66">
        <f>W7-S7</f>
        <v>-17600</v>
      </c>
      <c r="AA7" s="65"/>
      <c r="AB7" s="67"/>
      <c r="AC7" s="65"/>
      <c r="AD7" s="47"/>
      <c r="AE7" s="61"/>
      <c r="AF7" s="52">
        <f>SUM(Y7:AE7)</f>
        <v>-17600</v>
      </c>
      <c r="AG7" s="46">
        <f>U7+AF7</f>
        <v>-9150</v>
      </c>
      <c r="AH7" s="51">
        <f>AG7-S7</f>
        <v>-26750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30650</v>
      </c>
      <c r="D8" s="6">
        <v>3050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2500</v>
      </c>
      <c r="S8" s="6">
        <f t="shared" ref="S8:S71" si="1">C8+D8-R8</f>
        <v>31200</v>
      </c>
      <c r="T8" s="6">
        <v>-24350</v>
      </c>
      <c r="U8" s="6">
        <f t="shared" ref="U8:U71" si="2">S8+T8</f>
        <v>6850</v>
      </c>
      <c r="V8" s="52"/>
      <c r="W8" s="57"/>
      <c r="X8" s="46"/>
      <c r="Y8" s="61"/>
      <c r="Z8" s="66">
        <f t="shared" ref="Z8:Z71" si="3">W8-S8</f>
        <v>-31200</v>
      </c>
      <c r="AA8" s="61"/>
      <c r="AB8" s="67"/>
      <c r="AC8" s="61"/>
      <c r="AD8" s="66"/>
      <c r="AE8" s="61"/>
      <c r="AF8" s="52">
        <f t="shared" ref="AF8:AF71" si="4">SUM(Y8:AE8)</f>
        <v>-31200</v>
      </c>
      <c r="AG8" s="46">
        <f t="shared" ref="AG8:AG71" si="5">U8+AF8</f>
        <v>-24350</v>
      </c>
      <c r="AH8" s="51">
        <f t="shared" ref="AH8:AH71" si="6">AG8-S8</f>
        <v>-55550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>
        <f>3250+1575</f>
        <v>4825</v>
      </c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4825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6800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1000+600</f>
        <v>1600</v>
      </c>
      <c r="S11" s="6">
        <f t="shared" si="1"/>
        <v>5200</v>
      </c>
      <c r="T11" s="6">
        <v>-3750</v>
      </c>
      <c r="U11" s="6">
        <f t="shared" si="2"/>
        <v>1450</v>
      </c>
      <c r="V11" s="52"/>
      <c r="W11" s="57"/>
      <c r="X11" s="46"/>
      <c r="Y11" s="61"/>
      <c r="Z11" s="66">
        <f t="shared" si="3"/>
        <v>-5200</v>
      </c>
      <c r="AA11" s="61"/>
      <c r="AB11" s="67"/>
      <c r="AC11" s="61"/>
      <c r="AD11" s="66"/>
      <c r="AE11" s="61"/>
      <c r="AF11" s="52">
        <f t="shared" si="4"/>
        <v>-5200</v>
      </c>
      <c r="AG11" s="46">
        <f t="shared" si="5"/>
        <v>-3750</v>
      </c>
      <c r="AH11" s="51">
        <f t="shared" si="6"/>
        <v>-8950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-3350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-3350</v>
      </c>
      <c r="T12" s="6">
        <v>4700</v>
      </c>
      <c r="U12" s="6">
        <f t="shared" si="2"/>
        <v>1350</v>
      </c>
      <c r="V12" s="52"/>
      <c r="W12" s="57"/>
      <c r="X12" s="46"/>
      <c r="Y12" s="61"/>
      <c r="Z12" s="66">
        <f t="shared" si="3"/>
        <v>3350</v>
      </c>
      <c r="AA12" s="61"/>
      <c r="AB12" s="67"/>
      <c r="AC12" s="61"/>
      <c r="AD12" s="66"/>
      <c r="AE12" s="61"/>
      <c r="AF12" s="52">
        <f t="shared" si="4"/>
        <v>3350</v>
      </c>
      <c r="AG12" s="46">
        <f t="shared" si="5"/>
        <v>4700</v>
      </c>
      <c r="AH12" s="51">
        <f t="shared" si="6"/>
        <v>8050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19260</v>
      </c>
      <c r="D14" s="6">
        <f>10150+10000</f>
        <v>20150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1750+7000+4000+3000+6000+2750</f>
        <v>24500</v>
      </c>
      <c r="S14" s="6">
        <f t="shared" si="1"/>
        <v>14910</v>
      </c>
      <c r="T14" s="6">
        <v>-5760</v>
      </c>
      <c r="U14" s="6">
        <f t="shared" si="2"/>
        <v>9150</v>
      </c>
      <c r="V14" s="52"/>
      <c r="W14" s="57"/>
      <c r="X14" s="46"/>
      <c r="Y14" s="61"/>
      <c r="Z14" s="66">
        <f t="shared" si="3"/>
        <v>-14910</v>
      </c>
      <c r="AA14" s="61"/>
      <c r="AB14" s="66"/>
      <c r="AC14" s="61"/>
      <c r="AD14" s="66"/>
      <c r="AE14" s="61"/>
      <c r="AF14" s="52">
        <f t="shared" si="4"/>
        <v>-14910</v>
      </c>
      <c r="AG14" s="46">
        <f t="shared" si="5"/>
        <v>-5760</v>
      </c>
      <c r="AH14" s="51">
        <f t="shared" si="6"/>
        <v>-20670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13650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13650</v>
      </c>
      <c r="T16" s="34">
        <v>-10050</v>
      </c>
      <c r="U16" s="6">
        <f t="shared" si="2"/>
        <v>3600</v>
      </c>
      <c r="V16" s="52"/>
      <c r="W16" s="57"/>
      <c r="X16" s="46"/>
      <c r="Y16" s="61"/>
      <c r="Z16" s="66">
        <f t="shared" si="3"/>
        <v>-13650</v>
      </c>
      <c r="AA16" s="61"/>
      <c r="AB16" s="67"/>
      <c r="AC16" s="61"/>
      <c r="AD16" s="47"/>
      <c r="AE16" s="61"/>
      <c r="AF16" s="52">
        <f t="shared" si="4"/>
        <v>-13650</v>
      </c>
      <c r="AG16" s="46">
        <f t="shared" si="5"/>
        <v>-10050</v>
      </c>
      <c r="AH16" s="51">
        <f t="shared" si="6"/>
        <v>-23700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8150</v>
      </c>
      <c r="D17" s="6">
        <v>2700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10850</v>
      </c>
      <c r="T17" s="6">
        <v>-5000</v>
      </c>
      <c r="U17" s="6">
        <f t="shared" si="2"/>
        <v>5850</v>
      </c>
      <c r="V17" s="52"/>
      <c r="W17" s="57"/>
      <c r="X17" s="46"/>
      <c r="Y17" s="61"/>
      <c r="Z17" s="66">
        <f t="shared" si="3"/>
        <v>-10850</v>
      </c>
      <c r="AA17" s="61"/>
      <c r="AB17" s="66"/>
      <c r="AC17" s="61"/>
      <c r="AD17" s="66"/>
      <c r="AE17" s="61"/>
      <c r="AF17" s="52">
        <f t="shared" si="4"/>
        <v>-10850</v>
      </c>
      <c r="AG17" s="46">
        <f t="shared" si="5"/>
        <v>-5000</v>
      </c>
      <c r="AH17" s="51">
        <f t="shared" si="6"/>
        <v>-15850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9670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9670</v>
      </c>
      <c r="T19" s="6">
        <v>-8940</v>
      </c>
      <c r="U19" s="6">
        <f t="shared" si="2"/>
        <v>730</v>
      </c>
      <c r="V19" s="52"/>
      <c r="W19" s="57"/>
      <c r="X19" s="46"/>
      <c r="Y19" s="61"/>
      <c r="Z19" s="66">
        <f t="shared" si="3"/>
        <v>-9670</v>
      </c>
      <c r="AA19" s="61"/>
      <c r="AB19" s="67"/>
      <c r="AC19" s="61"/>
      <c r="AD19" s="66"/>
      <c r="AE19" s="61"/>
      <c r="AF19" s="52">
        <f t="shared" si="4"/>
        <v>-9670</v>
      </c>
      <c r="AG19" s="46">
        <f t="shared" si="5"/>
        <v>-8940</v>
      </c>
      <c r="AH19" s="51">
        <f t="shared" si="6"/>
        <v>-18610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3365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3365</v>
      </c>
      <c r="T20" s="6">
        <v>-1605</v>
      </c>
      <c r="U20" s="6">
        <f t="shared" si="2"/>
        <v>1760</v>
      </c>
      <c r="V20" s="52"/>
      <c r="W20" s="57"/>
      <c r="X20" s="46"/>
      <c r="Y20" s="61"/>
      <c r="Z20" s="66">
        <f t="shared" si="3"/>
        <v>-3365</v>
      </c>
      <c r="AA20" s="61"/>
      <c r="AB20" s="67"/>
      <c r="AC20" s="61"/>
      <c r="AD20" s="66"/>
      <c r="AE20" s="61"/>
      <c r="AF20" s="52">
        <f t="shared" si="4"/>
        <v>-3365</v>
      </c>
      <c r="AG20" s="46">
        <f t="shared" si="5"/>
        <v>-1605</v>
      </c>
      <c r="AH20" s="51">
        <f t="shared" si="6"/>
        <v>-4970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7">
        <f t="shared" si="0"/>
        <v>0</v>
      </c>
      <c r="R22" s="100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7">
        <f t="shared" si="0"/>
        <v>0</v>
      </c>
      <c r="R24" s="100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7">
        <f t="shared" si="0"/>
        <v>0</v>
      </c>
      <c r="R25" s="100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7">
        <f t="shared" si="0"/>
        <v>0</v>
      </c>
      <c r="R26" s="100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8560</v>
      </c>
      <c r="D27" s="6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7">
        <f t="shared" si="0"/>
        <v>0</v>
      </c>
      <c r="R27" s="100"/>
      <c r="S27" s="6">
        <f t="shared" si="1"/>
        <v>8560</v>
      </c>
      <c r="T27" s="6">
        <v>-40</v>
      </c>
      <c r="U27" s="6">
        <f t="shared" si="2"/>
        <v>8520</v>
      </c>
      <c r="V27" s="52"/>
      <c r="W27" s="57"/>
      <c r="X27" s="46"/>
      <c r="Y27" s="61"/>
      <c r="Z27" s="66">
        <f t="shared" si="3"/>
        <v>-8560</v>
      </c>
      <c r="AA27" s="61"/>
      <c r="AB27" s="67"/>
      <c r="AC27" s="61"/>
      <c r="AD27" s="66"/>
      <c r="AE27" s="61"/>
      <c r="AF27" s="52">
        <f t="shared" si="4"/>
        <v>-8560</v>
      </c>
      <c r="AG27" s="46">
        <f t="shared" si="5"/>
        <v>-40</v>
      </c>
      <c r="AH27" s="51">
        <f t="shared" si="6"/>
        <v>-8600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4660</v>
      </c>
      <c r="D28" s="6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7">
        <f t="shared" si="0"/>
        <v>0</v>
      </c>
      <c r="R28" s="100">
        <v>200</v>
      </c>
      <c r="S28" s="6">
        <f t="shared" si="1"/>
        <v>4460</v>
      </c>
      <c r="T28" s="6">
        <f>-40-100</f>
        <v>-140</v>
      </c>
      <c r="U28" s="6">
        <f t="shared" si="2"/>
        <v>4320</v>
      </c>
      <c r="V28" s="52"/>
      <c r="W28" s="57"/>
      <c r="X28" s="46"/>
      <c r="Y28" s="61"/>
      <c r="Z28" s="66">
        <f t="shared" si="3"/>
        <v>-4460</v>
      </c>
      <c r="AA28" s="61"/>
      <c r="AB28" s="67"/>
      <c r="AC28" s="61"/>
      <c r="AD28" s="66"/>
      <c r="AE28" s="61"/>
      <c r="AF28" s="52">
        <f t="shared" si="4"/>
        <v>-4460</v>
      </c>
      <c r="AG28" s="46">
        <f t="shared" si="5"/>
        <v>-140</v>
      </c>
      <c r="AH28" s="51">
        <f t="shared" si="6"/>
        <v>-4600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-960</v>
      </c>
      <c r="D29" s="6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7">
        <f t="shared" si="0"/>
        <v>0</v>
      </c>
      <c r="R29" s="100"/>
      <c r="S29" s="6">
        <f t="shared" si="1"/>
        <v>-960</v>
      </c>
      <c r="T29" s="6">
        <f>860+100</f>
        <v>960</v>
      </c>
      <c r="U29" s="6">
        <f t="shared" si="2"/>
        <v>0</v>
      </c>
      <c r="V29" s="52"/>
      <c r="W29" s="57"/>
      <c r="X29" s="46"/>
      <c r="Y29" s="61"/>
      <c r="Z29" s="66">
        <f t="shared" si="3"/>
        <v>960</v>
      </c>
      <c r="AA29" s="61"/>
      <c r="AB29" s="67"/>
      <c r="AC29" s="61"/>
      <c r="AD29" s="66"/>
      <c r="AE29" s="61"/>
      <c r="AF29" s="52">
        <f t="shared" si="4"/>
        <v>960</v>
      </c>
      <c r="AG29" s="46">
        <f t="shared" si="5"/>
        <v>960</v>
      </c>
      <c r="AH29" s="51">
        <f t="shared" si="6"/>
        <v>1920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7">
        <f t="shared" si="0"/>
        <v>0</v>
      </c>
      <c r="R30" s="100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19880</v>
      </c>
      <c r="D31" s="6"/>
      <c r="E31" s="100"/>
      <c r="F31" s="100"/>
      <c r="G31" s="100">
        <v>3000</v>
      </c>
      <c r="H31" s="100"/>
      <c r="I31" s="100"/>
      <c r="J31" s="100"/>
      <c r="K31" s="100"/>
      <c r="L31" s="100"/>
      <c r="M31" s="100"/>
      <c r="N31" s="100"/>
      <c r="O31" s="100"/>
      <c r="P31" s="100"/>
      <c r="Q31" s="7">
        <f t="shared" si="0"/>
        <v>3000</v>
      </c>
      <c r="R31" s="100"/>
      <c r="S31" s="6">
        <f t="shared" si="1"/>
        <v>19880</v>
      </c>
      <c r="T31" s="6">
        <v>-17180</v>
      </c>
      <c r="U31" s="6">
        <f t="shared" si="2"/>
        <v>2700</v>
      </c>
      <c r="V31" s="52"/>
      <c r="W31" s="57"/>
      <c r="X31" s="46"/>
      <c r="Y31" s="61"/>
      <c r="Z31" s="66">
        <f t="shared" si="3"/>
        <v>-19880</v>
      </c>
      <c r="AA31" s="61"/>
      <c r="AB31" s="64"/>
      <c r="AC31" s="61"/>
      <c r="AD31" s="66"/>
      <c r="AE31" s="61"/>
      <c r="AF31" s="52">
        <f t="shared" si="4"/>
        <v>-19880</v>
      </c>
      <c r="AG31" s="46">
        <f t="shared" si="5"/>
        <v>-17180</v>
      </c>
      <c r="AH31" s="51">
        <f t="shared" si="6"/>
        <v>-37060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24120</v>
      </c>
      <c r="D32" s="6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6"/>
      <c r="P32" s="6"/>
      <c r="Q32" s="7">
        <f>SUM(E32:P32)</f>
        <v>0</v>
      </c>
      <c r="R32" s="100"/>
      <c r="S32" s="6">
        <f t="shared" si="1"/>
        <v>24120</v>
      </c>
      <c r="T32" s="6">
        <v>-18280</v>
      </c>
      <c r="U32" s="6">
        <f t="shared" si="2"/>
        <v>5840</v>
      </c>
      <c r="V32" s="52"/>
      <c r="W32" s="57"/>
      <c r="X32" s="46"/>
      <c r="Y32" s="61"/>
      <c r="Z32" s="66">
        <f t="shared" si="3"/>
        <v>-24120</v>
      </c>
      <c r="AA32" s="61"/>
      <c r="AB32" s="67"/>
      <c r="AC32" s="61"/>
      <c r="AD32" s="66"/>
      <c r="AE32" s="61"/>
      <c r="AF32" s="52">
        <f t="shared" si="4"/>
        <v>-24120</v>
      </c>
      <c r="AG32" s="46">
        <f t="shared" si="5"/>
        <v>-18280</v>
      </c>
      <c r="AH32" s="51">
        <f t="shared" si="6"/>
        <v>-42400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7">
        <f t="shared" si="0"/>
        <v>0</v>
      </c>
      <c r="R33" s="100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00"/>
      <c r="F34" s="100"/>
      <c r="G34" s="100">
        <v>2600</v>
      </c>
      <c r="H34" s="100"/>
      <c r="I34" s="100"/>
      <c r="J34" s="100"/>
      <c r="K34" s="6"/>
      <c r="L34" s="100"/>
      <c r="M34" s="100"/>
      <c r="N34" s="100"/>
      <c r="O34" s="100"/>
      <c r="P34" s="100"/>
      <c r="Q34" s="7">
        <f t="shared" si="0"/>
        <v>2600</v>
      </c>
      <c r="R34" s="100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00"/>
      <c r="F35" s="100"/>
      <c r="G35" s="100"/>
      <c r="H35" s="100"/>
      <c r="I35" s="100"/>
      <c r="J35" s="100"/>
      <c r="K35" s="6"/>
      <c r="L35" s="100"/>
      <c r="M35" s="100"/>
      <c r="N35" s="100"/>
      <c r="O35" s="100"/>
      <c r="P35" s="100"/>
      <c r="Q35" s="7">
        <f t="shared" si="0"/>
        <v>0</v>
      </c>
      <c r="R35" s="100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100"/>
      <c r="F36" s="100"/>
      <c r="G36" s="100">
        <v>2760</v>
      </c>
      <c r="H36" s="100"/>
      <c r="I36" s="100"/>
      <c r="J36" s="100"/>
      <c r="K36" s="100"/>
      <c r="L36" s="100"/>
      <c r="M36" s="100"/>
      <c r="N36" s="100"/>
      <c r="O36" s="100"/>
      <c r="P36" s="100"/>
      <c r="Q36" s="7">
        <f t="shared" si="0"/>
        <v>2760</v>
      </c>
      <c r="R36" s="100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7">
        <f t="shared" si="0"/>
        <v>0</v>
      </c>
      <c r="R37" s="100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f>3660-2000</f>
        <v>1660</v>
      </c>
      <c r="D38" s="6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7">
        <f>SUM(E38:P38)</f>
        <v>0</v>
      </c>
      <c r="R38" s="100">
        <v>240</v>
      </c>
      <c r="S38" s="6">
        <f t="shared" si="1"/>
        <v>1420</v>
      </c>
      <c r="T38" s="6">
        <v>-1340</v>
      </c>
      <c r="U38" s="6">
        <f t="shared" si="2"/>
        <v>80</v>
      </c>
      <c r="V38" s="52"/>
      <c r="W38" s="57"/>
      <c r="X38" s="46"/>
      <c r="Y38" s="61"/>
      <c r="Z38" s="66">
        <f t="shared" si="3"/>
        <v>-1420</v>
      </c>
      <c r="AA38" s="61"/>
      <c r="AB38" s="64"/>
      <c r="AC38" s="61"/>
      <c r="AD38" s="66"/>
      <c r="AE38" s="61"/>
      <c r="AF38" s="52">
        <f t="shared" si="4"/>
        <v>-1420</v>
      </c>
      <c r="AG38" s="46">
        <f t="shared" si="5"/>
        <v>-1340</v>
      </c>
      <c r="AH38" s="51">
        <f t="shared" si="6"/>
        <v>-2760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7">
        <f>SUM(E39:P39)</f>
        <v>0</v>
      </c>
      <c r="R39" s="100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f>10220+1000</f>
        <v>11220</v>
      </c>
      <c r="D40" s="6"/>
      <c r="E40" s="100"/>
      <c r="F40" s="100"/>
      <c r="G40" s="100"/>
      <c r="H40" s="27"/>
      <c r="I40" s="100"/>
      <c r="J40" s="100"/>
      <c r="K40" s="100"/>
      <c r="L40" s="100"/>
      <c r="M40" s="100"/>
      <c r="N40" s="100"/>
      <c r="O40" s="100"/>
      <c r="P40" s="100"/>
      <c r="Q40" s="7">
        <f>SUM(E40:P40)</f>
        <v>0</v>
      </c>
      <c r="R40" s="100">
        <v>1000</v>
      </c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00"/>
      <c r="F41" s="100"/>
      <c r="G41" s="100">
        <v>3000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">
        <f>SUM(E41:P41)</f>
        <v>3000</v>
      </c>
      <c r="R41" s="100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5720</v>
      </c>
      <c r="D42" s="6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7">
        <f>SUM(E42:P42)</f>
        <v>0</v>
      </c>
      <c r="R42" s="100">
        <v>1000</v>
      </c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7">
        <f t="shared" si="0"/>
        <v>0</v>
      </c>
      <c r="R44" s="100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7">
        <f t="shared" si="0"/>
        <v>0</v>
      </c>
      <c r="R45" s="100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7">
        <f t="shared" si="0"/>
        <v>0</v>
      </c>
      <c r="R46" s="100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7">
        <f t="shared" si="0"/>
        <v>0</v>
      </c>
      <c r="R47" s="100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7">
        <f t="shared" si="0"/>
        <v>0</v>
      </c>
      <c r="R48" s="100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7">
        <f t="shared" si="0"/>
        <v>0</v>
      </c>
      <c r="R49" s="100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16325</v>
      </c>
      <c r="D50" s="6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7">
        <f t="shared" si="0"/>
        <v>0</v>
      </c>
      <c r="R50" s="100">
        <v>250</v>
      </c>
      <c r="S50" s="6">
        <f t="shared" si="1"/>
        <v>16075</v>
      </c>
      <c r="T50" s="6">
        <f>-12000+8615</f>
        <v>-3385</v>
      </c>
      <c r="U50" s="6">
        <f t="shared" si="2"/>
        <v>12690</v>
      </c>
      <c r="V50" s="52"/>
      <c r="W50" s="57"/>
      <c r="X50" s="46"/>
      <c r="Y50" s="61"/>
      <c r="Z50" s="66">
        <f t="shared" si="3"/>
        <v>-16075</v>
      </c>
      <c r="AA50" s="61"/>
      <c r="AB50" s="64"/>
      <c r="AC50" s="61"/>
      <c r="AD50" s="66"/>
      <c r="AE50" s="61"/>
      <c r="AF50" s="52">
        <f t="shared" si="4"/>
        <v>-16075</v>
      </c>
      <c r="AG50" s="46">
        <f t="shared" si="5"/>
        <v>-3385</v>
      </c>
      <c r="AH50" s="51">
        <f t="shared" si="6"/>
        <v>-19460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7">
        <f t="shared" si="0"/>
        <v>0</v>
      </c>
      <c r="R51" s="100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2510</v>
      </c>
      <c r="D52" s="6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7">
        <f t="shared" si="0"/>
        <v>0</v>
      </c>
      <c r="R52" s="100"/>
      <c r="S52" s="6">
        <f t="shared" si="1"/>
        <v>2510</v>
      </c>
      <c r="T52" s="6">
        <v>-2510</v>
      </c>
      <c r="U52" s="6">
        <f t="shared" si="2"/>
        <v>0</v>
      </c>
      <c r="V52" s="52"/>
      <c r="W52" s="57"/>
      <c r="X52" s="46"/>
      <c r="Y52" s="61"/>
      <c r="Z52" s="66">
        <f t="shared" si="3"/>
        <v>-2510</v>
      </c>
      <c r="AA52" s="61"/>
      <c r="AB52" s="67"/>
      <c r="AC52" s="61"/>
      <c r="AD52" s="66"/>
      <c r="AE52" s="61"/>
      <c r="AF52" s="52">
        <f t="shared" si="4"/>
        <v>-2510</v>
      </c>
      <c r="AG52" s="46">
        <f t="shared" si="5"/>
        <v>-2510</v>
      </c>
      <c r="AH52" s="51">
        <f t="shared" si="6"/>
        <v>-5020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7">
        <f t="shared" si="0"/>
        <v>0</v>
      </c>
      <c r="R53" s="100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7950</v>
      </c>
      <c r="D54" s="6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7">
        <f t="shared" si="0"/>
        <v>0</v>
      </c>
      <c r="R54" s="100"/>
      <c r="S54" s="6">
        <f t="shared" si="1"/>
        <v>7950</v>
      </c>
      <c r="T54" s="6">
        <v>-2850</v>
      </c>
      <c r="U54" s="6">
        <f t="shared" si="2"/>
        <v>5100</v>
      </c>
      <c r="V54" s="52"/>
      <c r="W54" s="57"/>
      <c r="X54" s="46"/>
      <c r="Y54" s="61"/>
      <c r="Z54" s="66">
        <f t="shared" si="3"/>
        <v>-7950</v>
      </c>
      <c r="AA54" s="61"/>
      <c r="AB54" s="67"/>
      <c r="AC54" s="61"/>
      <c r="AD54" s="66"/>
      <c r="AE54" s="61"/>
      <c r="AF54" s="52">
        <f t="shared" si="4"/>
        <v>-7950</v>
      </c>
      <c r="AG54" s="46">
        <f t="shared" si="5"/>
        <v>-2850</v>
      </c>
      <c r="AH54" s="51">
        <f t="shared" si="6"/>
        <v>-10800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7">
        <f t="shared" si="0"/>
        <v>0</v>
      </c>
      <c r="R55" s="100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7">
        <f>SUM(E56:P56)</f>
        <v>0</v>
      </c>
      <c r="R56" s="100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7">
        <f t="shared" si="0"/>
        <v>0</v>
      </c>
      <c r="R61" s="100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7">
        <f t="shared" si="0"/>
        <v>0</v>
      </c>
      <c r="R62" s="99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7">
        <f t="shared" si="0"/>
        <v>0</v>
      </c>
      <c r="R63" s="99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7">
        <f t="shared" si="0"/>
        <v>0</v>
      </c>
      <c r="R64" s="99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7">
        <f t="shared" si="0"/>
        <v>0</v>
      </c>
      <c r="R65" s="99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01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1700</v>
      </c>
      <c r="D67" s="100">
        <v>2000</v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7">
        <f t="shared" si="0"/>
        <v>0</v>
      </c>
      <c r="R67" s="100"/>
      <c r="S67" s="6">
        <f t="shared" si="1"/>
        <v>3700</v>
      </c>
      <c r="T67" s="6">
        <v>-1525</v>
      </c>
      <c r="U67" s="6">
        <f t="shared" si="2"/>
        <v>2175</v>
      </c>
      <c r="V67" s="52"/>
      <c r="W67" s="57"/>
      <c r="X67" s="46"/>
      <c r="Y67" s="61"/>
      <c r="Z67" s="66">
        <f t="shared" si="3"/>
        <v>-3700</v>
      </c>
      <c r="AA67" s="61"/>
      <c r="AB67" s="67"/>
      <c r="AC67" s="61"/>
      <c r="AD67" s="66"/>
      <c r="AE67" s="61"/>
      <c r="AF67" s="52">
        <f t="shared" si="4"/>
        <v>-3700</v>
      </c>
      <c r="AG67" s="46">
        <f t="shared" si="5"/>
        <v>-1525</v>
      </c>
      <c r="AH67" s="51">
        <f t="shared" si="6"/>
        <v>-5225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7">
        <f t="shared" si="0"/>
        <v>0</v>
      </c>
      <c r="R68" s="100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36325</v>
      </c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7">
        <f t="shared" si="0"/>
        <v>0</v>
      </c>
      <c r="R69" s="100">
        <f>2500+3500+500</f>
        <v>6500</v>
      </c>
      <c r="S69" s="6">
        <f t="shared" si="1"/>
        <v>29825</v>
      </c>
      <c r="T69" s="6">
        <v>-16950</v>
      </c>
      <c r="U69" s="6">
        <f t="shared" si="2"/>
        <v>12875</v>
      </c>
      <c r="V69" s="52"/>
      <c r="W69" s="57"/>
      <c r="X69" s="46"/>
      <c r="Y69" s="61"/>
      <c r="Z69" s="66">
        <f t="shared" si="3"/>
        <v>-29825</v>
      </c>
      <c r="AA69" s="61"/>
      <c r="AB69" s="64"/>
      <c r="AC69" s="61"/>
      <c r="AD69" s="66"/>
      <c r="AE69" s="61"/>
      <c r="AF69" s="52">
        <f t="shared" si="4"/>
        <v>-29825</v>
      </c>
      <c r="AG69" s="46">
        <f t="shared" si="5"/>
        <v>-16950</v>
      </c>
      <c r="AH69" s="51">
        <f t="shared" si="6"/>
        <v>-46775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11750</v>
      </c>
      <c r="D70" s="100">
        <v>3000</v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7">
        <f t="shared" si="0"/>
        <v>0</v>
      </c>
      <c r="R70" s="100"/>
      <c r="S70" s="6">
        <f t="shared" si="1"/>
        <v>14750</v>
      </c>
      <c r="T70" s="6">
        <v>-9425</v>
      </c>
      <c r="U70" s="6">
        <f t="shared" si="2"/>
        <v>5325</v>
      </c>
      <c r="V70" s="52"/>
      <c r="W70" s="57"/>
      <c r="X70" s="46"/>
      <c r="Y70" s="61"/>
      <c r="Z70" s="66">
        <f t="shared" si="3"/>
        <v>-14750</v>
      </c>
      <c r="AA70" s="61"/>
      <c r="AB70" s="67"/>
      <c r="AC70" s="61"/>
      <c r="AD70" s="66"/>
      <c r="AE70" s="61"/>
      <c r="AF70" s="52">
        <f t="shared" si="4"/>
        <v>-14750</v>
      </c>
      <c r="AG70" s="46">
        <f t="shared" si="5"/>
        <v>-9425</v>
      </c>
      <c r="AH70" s="51">
        <f t="shared" si="6"/>
        <v>-24175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47975</v>
      </c>
      <c r="D71" s="100">
        <v>5350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7">
        <f t="shared" si="0"/>
        <v>0</v>
      </c>
      <c r="R71" s="100">
        <f>250+12500+5500+1500</f>
        <v>19750</v>
      </c>
      <c r="S71" s="6">
        <f t="shared" si="1"/>
        <v>33575</v>
      </c>
      <c r="T71" s="6">
        <v>-27500</v>
      </c>
      <c r="U71" s="6">
        <f t="shared" si="2"/>
        <v>6075</v>
      </c>
      <c r="V71" s="52"/>
      <c r="W71" s="57"/>
      <c r="X71" s="46"/>
      <c r="Y71" s="61"/>
      <c r="Z71" s="66">
        <f t="shared" si="3"/>
        <v>-33575</v>
      </c>
      <c r="AA71" s="61"/>
      <c r="AB71" s="64"/>
      <c r="AC71" s="61"/>
      <c r="AD71" s="66"/>
      <c r="AE71" s="61"/>
      <c r="AF71" s="52">
        <f t="shared" si="4"/>
        <v>-33575</v>
      </c>
      <c r="AG71" s="46">
        <f t="shared" si="5"/>
        <v>-27500</v>
      </c>
      <c r="AH71" s="51">
        <f t="shared" si="6"/>
        <v>-61075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00">
        <f>SUM(C7:C72)</f>
        <v>436925</v>
      </c>
      <c r="D73" s="100">
        <f t="shared" ref="D73:V73" si="11">SUM(D7:D72)</f>
        <v>39100</v>
      </c>
      <c r="E73" s="100">
        <f t="shared" si="11"/>
        <v>0</v>
      </c>
      <c r="F73" s="100">
        <f t="shared" si="11"/>
        <v>0</v>
      </c>
      <c r="G73" s="100">
        <f t="shared" si="11"/>
        <v>16185</v>
      </c>
      <c r="H73" s="27">
        <f t="shared" si="11"/>
        <v>0</v>
      </c>
      <c r="I73" s="100">
        <f t="shared" si="11"/>
        <v>0</v>
      </c>
      <c r="J73" s="100">
        <f t="shared" si="11"/>
        <v>0</v>
      </c>
      <c r="K73" s="100">
        <f t="shared" si="11"/>
        <v>0</v>
      </c>
      <c r="L73" s="100">
        <f t="shared" si="11"/>
        <v>0</v>
      </c>
      <c r="M73" s="100">
        <f t="shared" si="11"/>
        <v>0</v>
      </c>
      <c r="N73" s="100">
        <f t="shared" si="11"/>
        <v>0</v>
      </c>
      <c r="O73" s="100">
        <f t="shared" si="11"/>
        <v>0</v>
      </c>
      <c r="P73" s="100">
        <f t="shared" si="11"/>
        <v>0</v>
      </c>
      <c r="Q73" s="100">
        <f t="shared" si="11"/>
        <v>16185</v>
      </c>
      <c r="R73" s="100">
        <f t="shared" si="11"/>
        <v>58040</v>
      </c>
      <c r="S73" s="100">
        <f t="shared" si="11"/>
        <v>417985</v>
      </c>
      <c r="T73" s="100">
        <f t="shared" si="11"/>
        <v>-286670</v>
      </c>
      <c r="U73" s="100">
        <f t="shared" si="11"/>
        <v>131315</v>
      </c>
      <c r="V73" s="100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-417985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-417985</v>
      </c>
      <c r="AG73" s="43">
        <f t="shared" si="12"/>
        <v>-286670</v>
      </c>
      <c r="AH73" s="43">
        <f t="shared" si="12"/>
        <v>-704655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16185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</f>
        <v>69455</v>
      </c>
      <c r="S74" s="211"/>
      <c r="T74" s="212">
        <f>R74+R75</f>
        <v>166680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39100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</f>
        <v>97225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58040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</f>
        <v>167585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</f>
        <v>36000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36000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37600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17685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131585</v>
      </c>
      <c r="S80" s="197"/>
      <c r="T80" s="22"/>
      <c r="U80" s="22"/>
      <c r="V80" s="2"/>
      <c r="X80" s="63">
        <f>SUM(X77:X79)</f>
        <v>55285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02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/>
      <c r="S90" s="36">
        <v>4</v>
      </c>
      <c r="T90" s="36"/>
      <c r="U90" s="36">
        <v>4</v>
      </c>
      <c r="V90" s="36"/>
      <c r="W90" s="36"/>
      <c r="X90" s="36">
        <f t="shared" si="13"/>
        <v>0</v>
      </c>
      <c r="Z90" s="36"/>
      <c r="AA90" s="36"/>
    </row>
    <row r="91" spans="1:31">
      <c r="B91" s="36"/>
      <c r="C91" s="36"/>
      <c r="R91" s="36"/>
      <c r="S91" s="36">
        <v>5</v>
      </c>
      <c r="T91" s="36"/>
      <c r="U91" s="36">
        <v>5</v>
      </c>
      <c r="V91" s="83"/>
      <c r="W91" s="83"/>
      <c r="X91" s="36">
        <f t="shared" si="13"/>
        <v>0</v>
      </c>
      <c r="Z91" s="36"/>
      <c r="AA91" s="36"/>
    </row>
    <row r="92" spans="1:31">
      <c r="B92" s="36"/>
      <c r="C92" s="36"/>
      <c r="R92" s="36"/>
      <c r="S92" s="36">
        <v>6</v>
      </c>
      <c r="T92" s="36"/>
      <c r="U92" s="36">
        <v>6</v>
      </c>
      <c r="V92" s="36"/>
      <c r="W92" s="36"/>
      <c r="X92" s="36">
        <f t="shared" si="13"/>
        <v>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0</v>
      </c>
      <c r="R118" s="63">
        <f t="shared" si="14"/>
        <v>36000</v>
      </c>
      <c r="S118" s="63"/>
      <c r="T118" s="63">
        <f>SUM(T87:T117)</f>
        <v>167585</v>
      </c>
      <c r="U118" s="63"/>
      <c r="V118" s="63">
        <f>SUM(V87:V117)</f>
        <v>69455</v>
      </c>
      <c r="W118" s="63">
        <f>SUM(W87:W117)</f>
        <v>97225</v>
      </c>
      <c r="X118" s="36">
        <f>SUM(V118:W118)</f>
        <v>166680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1" activePane="bottomRight" state="frozen"/>
      <selection activeCell="O32" sqref="O32"/>
      <selection pane="topRight" activeCell="O32" sqref="O32"/>
      <selection pane="bottomLeft" activeCell="O32" sqref="O32"/>
      <selection pane="bottomRight" activeCell="AB80" sqref="AB80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192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157</v>
      </c>
      <c r="P6" s="171" t="s">
        <v>187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11650</v>
      </c>
      <c r="D7" s="6">
        <v>5000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1000</v>
      </c>
      <c r="S7" s="6">
        <f>C7+D7-R7</f>
        <v>15650</v>
      </c>
      <c r="T7" s="34">
        <v>-9150</v>
      </c>
      <c r="U7" s="6">
        <f>S7+T7</f>
        <v>6500</v>
      </c>
      <c r="V7" s="52"/>
      <c r="W7" s="57"/>
      <c r="X7" s="46"/>
      <c r="Y7" s="65"/>
      <c r="Z7" s="66">
        <f>W7-S7</f>
        <v>-15650</v>
      </c>
      <c r="AA7" s="65"/>
      <c r="AB7" s="67"/>
      <c r="AC7" s="65"/>
      <c r="AD7" s="47"/>
      <c r="AE7" s="61"/>
      <c r="AF7" s="52">
        <f>SUM(Y7:AE7)</f>
        <v>-15650</v>
      </c>
      <c r="AG7" s="46">
        <f>U7+AF7</f>
        <v>-9150</v>
      </c>
      <c r="AH7" s="51">
        <f>AG7-S7</f>
        <v>-24800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30250</v>
      </c>
      <c r="D8" s="6">
        <f>1900+10000</f>
        <v>11900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100+3000</f>
        <v>3100</v>
      </c>
      <c r="S8" s="6">
        <f t="shared" ref="S8:S71" si="1">C8+D8-R8</f>
        <v>39050</v>
      </c>
      <c r="T8" s="6">
        <v>-24350</v>
      </c>
      <c r="U8" s="6">
        <f t="shared" ref="U8:U71" si="2">S8+T8</f>
        <v>14700</v>
      </c>
      <c r="V8" s="52"/>
      <c r="W8" s="57"/>
      <c r="X8" s="46"/>
      <c r="Y8" s="61"/>
      <c r="Z8" s="66">
        <f t="shared" ref="Z8:Z71" si="3">W8-S8</f>
        <v>-39050</v>
      </c>
      <c r="AA8" s="61"/>
      <c r="AB8" s="67"/>
      <c r="AC8" s="61"/>
      <c r="AD8" s="66"/>
      <c r="AE8" s="61"/>
      <c r="AF8" s="52">
        <f t="shared" ref="AF8:AF71" si="4">SUM(Y8:AE8)</f>
        <v>-39050</v>
      </c>
      <c r="AG8" s="46">
        <f t="shared" ref="AG8:AG71" si="5">U8+AF8</f>
        <v>-24350</v>
      </c>
      <c r="AH8" s="51">
        <f t="shared" ref="AH8:AH71" si="6">AG8-S8</f>
        <v>-63400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9200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1000</v>
      </c>
      <c r="S11" s="6">
        <f t="shared" si="1"/>
        <v>8200</v>
      </c>
      <c r="T11" s="6">
        <v>-3750</v>
      </c>
      <c r="U11" s="6">
        <f t="shared" si="2"/>
        <v>4450</v>
      </c>
      <c r="V11" s="52"/>
      <c r="W11" s="57"/>
      <c r="X11" s="46"/>
      <c r="Y11" s="61"/>
      <c r="Z11" s="66">
        <f t="shared" si="3"/>
        <v>-8200</v>
      </c>
      <c r="AA11" s="61"/>
      <c r="AB11" s="67"/>
      <c r="AC11" s="61"/>
      <c r="AD11" s="66"/>
      <c r="AE11" s="61"/>
      <c r="AF11" s="52">
        <f t="shared" si="4"/>
        <v>-8200</v>
      </c>
      <c r="AG11" s="46">
        <f t="shared" si="5"/>
        <v>-3750</v>
      </c>
      <c r="AH11" s="51">
        <f t="shared" si="6"/>
        <v>-11950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-1100</v>
      </c>
      <c r="D12" s="6">
        <f>2000+5300</f>
        <v>7300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500+3000</f>
        <v>3500</v>
      </c>
      <c r="S12" s="6">
        <f t="shared" si="1"/>
        <v>2700</v>
      </c>
      <c r="T12" s="6">
        <v>4700</v>
      </c>
      <c r="U12" s="6">
        <f t="shared" si="2"/>
        <v>7400</v>
      </c>
      <c r="V12" s="52"/>
      <c r="W12" s="57"/>
      <c r="X12" s="46"/>
      <c r="Y12" s="61"/>
      <c r="Z12" s="66">
        <f t="shared" si="3"/>
        <v>-2700</v>
      </c>
      <c r="AA12" s="61"/>
      <c r="AB12" s="67"/>
      <c r="AC12" s="61"/>
      <c r="AD12" s="66"/>
      <c r="AE12" s="61"/>
      <c r="AF12" s="52">
        <f t="shared" si="4"/>
        <v>-2700</v>
      </c>
      <c r="AG12" s="46">
        <f t="shared" si="5"/>
        <v>4700</v>
      </c>
      <c r="AH12" s="51">
        <f t="shared" si="6"/>
        <v>2000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21610</v>
      </c>
      <c r="D14" s="6">
        <f>13000+18400</f>
        <v>31400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5000+1000+6000+1000+1500+3000</f>
        <v>17500</v>
      </c>
      <c r="S14" s="6">
        <f t="shared" si="1"/>
        <v>35510</v>
      </c>
      <c r="T14" s="6">
        <v>-5760</v>
      </c>
      <c r="U14" s="6">
        <f t="shared" si="2"/>
        <v>29750</v>
      </c>
      <c r="V14" s="52"/>
      <c r="W14" s="57"/>
      <c r="X14" s="46"/>
      <c r="Y14" s="61"/>
      <c r="Z14" s="66">
        <f t="shared" si="3"/>
        <v>-35510</v>
      </c>
      <c r="AA14" s="61"/>
      <c r="AB14" s="66"/>
      <c r="AC14" s="61"/>
      <c r="AD14" s="66"/>
      <c r="AE14" s="61"/>
      <c r="AF14" s="52">
        <f t="shared" si="4"/>
        <v>-35510</v>
      </c>
      <c r="AG14" s="46">
        <f t="shared" si="5"/>
        <v>-5760</v>
      </c>
      <c r="AH14" s="51">
        <f t="shared" si="6"/>
        <v>-41270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12250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12250</v>
      </c>
      <c r="T16" s="34">
        <v>-10050</v>
      </c>
      <c r="U16" s="6">
        <f t="shared" si="2"/>
        <v>2200</v>
      </c>
      <c r="V16" s="52"/>
      <c r="W16" s="57"/>
      <c r="X16" s="46"/>
      <c r="Y16" s="61"/>
      <c r="Z16" s="66">
        <f t="shared" si="3"/>
        <v>-12250</v>
      </c>
      <c r="AA16" s="61"/>
      <c r="AB16" s="67"/>
      <c r="AC16" s="61"/>
      <c r="AD16" s="47"/>
      <c r="AE16" s="61"/>
      <c r="AF16" s="52">
        <f t="shared" si="4"/>
        <v>-12250</v>
      </c>
      <c r="AG16" s="46">
        <f t="shared" si="5"/>
        <v>-10050</v>
      </c>
      <c r="AH16" s="51">
        <f t="shared" si="6"/>
        <v>-22300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7450</v>
      </c>
      <c r="D17" s="6">
        <v>4800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550+1000</f>
        <v>1550</v>
      </c>
      <c r="S17" s="6">
        <f t="shared" si="1"/>
        <v>10700</v>
      </c>
      <c r="T17" s="6">
        <v>-5000</v>
      </c>
      <c r="U17" s="6">
        <f t="shared" si="2"/>
        <v>5700</v>
      </c>
      <c r="V17" s="52"/>
      <c r="W17" s="57"/>
      <c r="X17" s="46"/>
      <c r="Y17" s="61"/>
      <c r="Z17" s="66">
        <f t="shared" si="3"/>
        <v>-10700</v>
      </c>
      <c r="AA17" s="61"/>
      <c r="AB17" s="66"/>
      <c r="AC17" s="61"/>
      <c r="AD17" s="66"/>
      <c r="AE17" s="61"/>
      <c r="AF17" s="52">
        <f t="shared" si="4"/>
        <v>-10700</v>
      </c>
      <c r="AG17" s="46">
        <f t="shared" si="5"/>
        <v>-5000</v>
      </c>
      <c r="AH17" s="51">
        <f t="shared" si="6"/>
        <v>-15700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7">
        <f t="shared" si="0"/>
        <v>0</v>
      </c>
      <c r="R22" s="187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7">
        <f t="shared" si="0"/>
        <v>0</v>
      </c>
      <c r="R24" s="187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7">
        <f t="shared" si="0"/>
        <v>0</v>
      </c>
      <c r="R25" s="187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7">
        <f t="shared" si="0"/>
        <v>0</v>
      </c>
      <c r="R26" s="187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7">
        <f t="shared" si="0"/>
        <v>0</v>
      </c>
      <c r="R27" s="187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5840</v>
      </c>
      <c r="D28" s="6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7">
        <f t="shared" si="0"/>
        <v>0</v>
      </c>
      <c r="R28" s="187">
        <v>240</v>
      </c>
      <c r="S28" s="6">
        <f t="shared" si="1"/>
        <v>5600</v>
      </c>
      <c r="T28" s="6">
        <f>-40-100</f>
        <v>-140</v>
      </c>
      <c r="U28" s="6">
        <f t="shared" si="2"/>
        <v>5460</v>
      </c>
      <c r="V28" s="52"/>
      <c r="W28" s="57"/>
      <c r="X28" s="46"/>
      <c r="Y28" s="61"/>
      <c r="Z28" s="66">
        <f t="shared" si="3"/>
        <v>-5600</v>
      </c>
      <c r="AA28" s="61"/>
      <c r="AB28" s="67"/>
      <c r="AC28" s="61"/>
      <c r="AD28" s="66"/>
      <c r="AE28" s="61"/>
      <c r="AF28" s="52">
        <f t="shared" si="4"/>
        <v>-5600</v>
      </c>
      <c r="AG28" s="46">
        <f t="shared" si="5"/>
        <v>-140</v>
      </c>
      <c r="AH28" s="51">
        <f t="shared" si="6"/>
        <v>-5740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3480</v>
      </c>
      <c r="D29" s="6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7">
        <f t="shared" si="0"/>
        <v>0</v>
      </c>
      <c r="R29" s="187"/>
      <c r="S29" s="6">
        <f t="shared" si="1"/>
        <v>3480</v>
      </c>
      <c r="T29" s="6">
        <f>860+100</f>
        <v>960</v>
      </c>
      <c r="U29" s="6">
        <f t="shared" si="2"/>
        <v>4440</v>
      </c>
      <c r="V29" s="52"/>
      <c r="W29" s="57"/>
      <c r="X29" s="46"/>
      <c r="Y29" s="61"/>
      <c r="Z29" s="66">
        <f t="shared" si="3"/>
        <v>-3480</v>
      </c>
      <c r="AA29" s="61"/>
      <c r="AB29" s="67"/>
      <c r="AC29" s="61"/>
      <c r="AD29" s="66"/>
      <c r="AE29" s="61"/>
      <c r="AF29" s="52">
        <f t="shared" si="4"/>
        <v>-3480</v>
      </c>
      <c r="AG29" s="46">
        <f t="shared" si="5"/>
        <v>960</v>
      </c>
      <c r="AH29" s="51">
        <f t="shared" si="6"/>
        <v>-2520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19490</v>
      </c>
      <c r="D30" s="6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7">
        <f t="shared" si="0"/>
        <v>0</v>
      </c>
      <c r="R30" s="187"/>
      <c r="S30" s="6">
        <f t="shared" si="1"/>
        <v>19490</v>
      </c>
      <c r="T30" s="6">
        <v>-18970</v>
      </c>
      <c r="U30" s="6">
        <f t="shared" si="2"/>
        <v>520</v>
      </c>
      <c r="V30" s="52"/>
      <c r="W30" s="57"/>
      <c r="X30" s="46"/>
      <c r="Y30" s="61"/>
      <c r="Z30" s="66">
        <f t="shared" si="3"/>
        <v>-19490</v>
      </c>
      <c r="AA30" s="61"/>
      <c r="AB30" s="67"/>
      <c r="AC30" s="61"/>
      <c r="AD30" s="66"/>
      <c r="AE30" s="61"/>
      <c r="AF30" s="52">
        <f t="shared" si="4"/>
        <v>-19490</v>
      </c>
      <c r="AG30" s="46">
        <f t="shared" si="5"/>
        <v>-18970</v>
      </c>
      <c r="AH30" s="51">
        <f t="shared" si="6"/>
        <v>-38460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18640</v>
      </c>
      <c r="D31" s="6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7">
        <f t="shared" si="0"/>
        <v>0</v>
      </c>
      <c r="R31" s="187"/>
      <c r="S31" s="6">
        <f t="shared" si="1"/>
        <v>18640</v>
      </c>
      <c r="T31" s="6">
        <v>-17180</v>
      </c>
      <c r="U31" s="6">
        <f t="shared" si="2"/>
        <v>1460</v>
      </c>
      <c r="V31" s="52"/>
      <c r="W31" s="57"/>
      <c r="X31" s="46"/>
      <c r="Y31" s="61"/>
      <c r="Z31" s="66">
        <f t="shared" si="3"/>
        <v>-18640</v>
      </c>
      <c r="AA31" s="61"/>
      <c r="AB31" s="64"/>
      <c r="AC31" s="61"/>
      <c r="AD31" s="66"/>
      <c r="AE31" s="61"/>
      <c r="AF31" s="52">
        <f t="shared" si="4"/>
        <v>-18640</v>
      </c>
      <c r="AG31" s="46">
        <f t="shared" si="5"/>
        <v>-17180</v>
      </c>
      <c r="AH31" s="51">
        <f t="shared" si="6"/>
        <v>-35820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21160</v>
      </c>
      <c r="D32" s="6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6"/>
      <c r="P32" s="6"/>
      <c r="Q32" s="7">
        <f>SUM(E32:P32)</f>
        <v>0</v>
      </c>
      <c r="R32" s="187"/>
      <c r="S32" s="6">
        <f t="shared" si="1"/>
        <v>21160</v>
      </c>
      <c r="T32" s="6">
        <v>-18280</v>
      </c>
      <c r="U32" s="6">
        <f t="shared" si="2"/>
        <v>2880</v>
      </c>
      <c r="V32" s="52"/>
      <c r="W32" s="57"/>
      <c r="X32" s="46"/>
      <c r="Y32" s="61"/>
      <c r="Z32" s="66">
        <f t="shared" si="3"/>
        <v>-21160</v>
      </c>
      <c r="AA32" s="61"/>
      <c r="AB32" s="67"/>
      <c r="AC32" s="61"/>
      <c r="AD32" s="66"/>
      <c r="AE32" s="61"/>
      <c r="AF32" s="52">
        <f t="shared" si="4"/>
        <v>-21160</v>
      </c>
      <c r="AG32" s="46">
        <f t="shared" si="5"/>
        <v>-18280</v>
      </c>
      <c r="AH32" s="51">
        <f t="shared" si="6"/>
        <v>-39440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7">
        <f t="shared" si="0"/>
        <v>0</v>
      </c>
      <c r="R33" s="187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1760</v>
      </c>
      <c r="D34" s="6"/>
      <c r="E34" s="187"/>
      <c r="F34" s="187"/>
      <c r="G34" s="187"/>
      <c r="H34" s="187"/>
      <c r="I34" s="187"/>
      <c r="J34" s="187"/>
      <c r="K34" s="6"/>
      <c r="L34" s="187"/>
      <c r="M34" s="187"/>
      <c r="N34" s="187"/>
      <c r="O34" s="187"/>
      <c r="P34" s="187"/>
      <c r="Q34" s="7">
        <f t="shared" si="0"/>
        <v>0</v>
      </c>
      <c r="R34" s="187"/>
      <c r="S34" s="6">
        <f t="shared" si="1"/>
        <v>1760</v>
      </c>
      <c r="T34" s="6">
        <v>2960</v>
      </c>
      <c r="U34" s="6">
        <f t="shared" si="2"/>
        <v>4720</v>
      </c>
      <c r="V34" s="52"/>
      <c r="W34" s="57"/>
      <c r="X34" s="46"/>
      <c r="Y34" s="61"/>
      <c r="Z34" s="66">
        <f t="shared" si="3"/>
        <v>-1760</v>
      </c>
      <c r="AA34" s="61"/>
      <c r="AB34" s="67"/>
      <c r="AC34" s="61"/>
      <c r="AD34" s="66"/>
      <c r="AE34" s="61"/>
      <c r="AF34" s="52">
        <f t="shared" si="4"/>
        <v>-1760</v>
      </c>
      <c r="AG34" s="46">
        <f t="shared" si="5"/>
        <v>2960</v>
      </c>
      <c r="AH34" s="51">
        <f t="shared" si="6"/>
        <v>1200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87"/>
      <c r="F35" s="187"/>
      <c r="G35" s="187"/>
      <c r="H35" s="187"/>
      <c r="I35" s="187"/>
      <c r="J35" s="187"/>
      <c r="K35" s="6"/>
      <c r="L35" s="187"/>
      <c r="M35" s="187"/>
      <c r="N35" s="187"/>
      <c r="O35" s="187"/>
      <c r="P35" s="187"/>
      <c r="Q35" s="7">
        <f t="shared" si="0"/>
        <v>0</v>
      </c>
      <c r="R35" s="187"/>
      <c r="S35" s="6">
        <f t="shared" si="1"/>
        <v>4720</v>
      </c>
      <c r="T35" s="6">
        <v>-1760</v>
      </c>
      <c r="U35" s="6">
        <f t="shared" si="2"/>
        <v>2960</v>
      </c>
      <c r="V35" s="52"/>
      <c r="W35" s="57"/>
      <c r="X35" s="46"/>
      <c r="Y35" s="61"/>
      <c r="Z35" s="66">
        <f t="shared" si="3"/>
        <v>-4720</v>
      </c>
      <c r="AA35" s="61"/>
      <c r="AB35" s="67"/>
      <c r="AC35" s="61"/>
      <c r="AD35" s="66"/>
      <c r="AE35" s="61"/>
      <c r="AF35" s="52">
        <f t="shared" si="4"/>
        <v>-4720</v>
      </c>
      <c r="AG35" s="46">
        <f t="shared" si="5"/>
        <v>-1760</v>
      </c>
      <c r="AH35" s="51">
        <f t="shared" si="6"/>
        <v>-6480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7">
        <f t="shared" si="0"/>
        <v>0</v>
      </c>
      <c r="R36" s="187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7">
        <f t="shared" si="0"/>
        <v>0</v>
      </c>
      <c r="R37" s="187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1880</v>
      </c>
      <c r="D38" s="6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7">
        <f>SUM(E38:P38)</f>
        <v>0</v>
      </c>
      <c r="R38" s="187"/>
      <c r="S38" s="6">
        <f t="shared" si="1"/>
        <v>1880</v>
      </c>
      <c r="T38" s="6">
        <v>-1340</v>
      </c>
      <c r="U38" s="6">
        <f t="shared" si="2"/>
        <v>540</v>
      </c>
      <c r="V38" s="52"/>
      <c r="W38" s="57"/>
      <c r="X38" s="46"/>
      <c r="Y38" s="61"/>
      <c r="Z38" s="66">
        <f t="shared" si="3"/>
        <v>-1880</v>
      </c>
      <c r="AA38" s="61"/>
      <c r="AB38" s="64"/>
      <c r="AC38" s="61"/>
      <c r="AD38" s="66"/>
      <c r="AE38" s="61"/>
      <c r="AF38" s="52">
        <f t="shared" si="4"/>
        <v>-1880</v>
      </c>
      <c r="AG38" s="46">
        <f t="shared" si="5"/>
        <v>-1340</v>
      </c>
      <c r="AH38" s="51">
        <f t="shared" si="6"/>
        <v>-3220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7">
        <f>SUM(E39:P39)</f>
        <v>0</v>
      </c>
      <c r="R39" s="187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187"/>
      <c r="F40" s="187"/>
      <c r="G40" s="187"/>
      <c r="H40" s="27"/>
      <c r="I40" s="187"/>
      <c r="J40" s="187"/>
      <c r="K40" s="187"/>
      <c r="L40" s="187"/>
      <c r="M40" s="187"/>
      <c r="N40" s="187"/>
      <c r="O40" s="187"/>
      <c r="P40" s="187"/>
      <c r="Q40" s="7">
        <f>SUM(E40:P40)</f>
        <v>0</v>
      </c>
      <c r="R40" s="187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7">
        <f>SUM(E41:P41)</f>
        <v>0</v>
      </c>
      <c r="R41" s="187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7">
        <f>SUM(E42:P42)</f>
        <v>0</v>
      </c>
      <c r="R42" s="187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7">
        <f t="shared" si="0"/>
        <v>0</v>
      </c>
      <c r="R44" s="187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7">
        <f t="shared" si="0"/>
        <v>0</v>
      </c>
      <c r="R45" s="187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7">
        <f t="shared" si="0"/>
        <v>0</v>
      </c>
      <c r="R46" s="187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7">
        <f t="shared" si="0"/>
        <v>0</v>
      </c>
      <c r="R47" s="187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7">
        <f t="shared" si="0"/>
        <v>0</v>
      </c>
      <c r="R48" s="187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7">
        <f t="shared" si="0"/>
        <v>0</v>
      </c>
      <c r="R49" s="187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5950</v>
      </c>
      <c r="D50" s="6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7">
        <f t="shared" si="0"/>
        <v>0</v>
      </c>
      <c r="R50" s="187"/>
      <c r="S50" s="6">
        <f t="shared" si="1"/>
        <v>5950</v>
      </c>
      <c r="T50" s="6">
        <f>-12000+8615</f>
        <v>-3385</v>
      </c>
      <c r="U50" s="6">
        <f t="shared" si="2"/>
        <v>2565</v>
      </c>
      <c r="V50" s="52"/>
      <c r="W50" s="57"/>
      <c r="X50" s="46"/>
      <c r="Y50" s="61"/>
      <c r="Z50" s="66">
        <f t="shared" si="3"/>
        <v>-5950</v>
      </c>
      <c r="AA50" s="61"/>
      <c r="AB50" s="64"/>
      <c r="AC50" s="61"/>
      <c r="AD50" s="66"/>
      <c r="AE50" s="61"/>
      <c r="AF50" s="52">
        <f t="shared" si="4"/>
        <v>-5950</v>
      </c>
      <c r="AG50" s="46">
        <f t="shared" si="5"/>
        <v>-3385</v>
      </c>
      <c r="AH50" s="51">
        <f t="shared" si="6"/>
        <v>-9335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7">
        <f t="shared" si="0"/>
        <v>0</v>
      </c>
      <c r="R51" s="187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7">
        <f t="shared" si="0"/>
        <v>0</v>
      </c>
      <c r="R52" s="187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13025</v>
      </c>
      <c r="D53" s="6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7">
        <f t="shared" si="0"/>
        <v>0</v>
      </c>
      <c r="R53" s="187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3750</v>
      </c>
      <c r="D54" s="6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7">
        <f t="shared" si="0"/>
        <v>0</v>
      </c>
      <c r="R54" s="187"/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7">
        <f t="shared" si="0"/>
        <v>0</v>
      </c>
      <c r="R55" s="187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7">
        <f>SUM(E56:P56)</f>
        <v>0</v>
      </c>
      <c r="R56" s="187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7">
        <f t="shared" si="0"/>
        <v>0</v>
      </c>
      <c r="R61" s="187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7">
        <f t="shared" si="0"/>
        <v>0</v>
      </c>
      <c r="R62" s="186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7">
        <f t="shared" si="0"/>
        <v>0</v>
      </c>
      <c r="R63" s="186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7">
        <f t="shared" si="0"/>
        <v>0</v>
      </c>
      <c r="R64" s="186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7">
        <f t="shared" si="0"/>
        <v>0</v>
      </c>
      <c r="R65" s="186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85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7">
        <f t="shared" si="0"/>
        <v>0</v>
      </c>
      <c r="R67" s="187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7">
        <f t="shared" si="0"/>
        <v>0</v>
      </c>
      <c r="R68" s="187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29325</v>
      </c>
      <c r="D69" s="187">
        <v>6300</v>
      </c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7">
        <f t="shared" si="0"/>
        <v>0</v>
      </c>
      <c r="R69" s="187">
        <f>500+550+1000</f>
        <v>2050</v>
      </c>
      <c r="S69" s="6">
        <f t="shared" si="1"/>
        <v>33575</v>
      </c>
      <c r="T69" s="6">
        <v>-16950</v>
      </c>
      <c r="U69" s="6">
        <f t="shared" si="2"/>
        <v>16625</v>
      </c>
      <c r="V69" s="52"/>
      <c r="W69" s="57"/>
      <c r="X69" s="46"/>
      <c r="Y69" s="61"/>
      <c r="Z69" s="66">
        <f t="shared" si="3"/>
        <v>-33575</v>
      </c>
      <c r="AA69" s="61"/>
      <c r="AB69" s="64"/>
      <c r="AC69" s="61"/>
      <c r="AD69" s="66"/>
      <c r="AE69" s="61"/>
      <c r="AF69" s="52">
        <f t="shared" si="4"/>
        <v>-33575</v>
      </c>
      <c r="AG69" s="46">
        <f t="shared" si="5"/>
        <v>-16950</v>
      </c>
      <c r="AH69" s="51">
        <f t="shared" si="6"/>
        <v>-50525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9550</v>
      </c>
      <c r="D70" s="187">
        <v>5000</v>
      </c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7">
        <f t="shared" si="0"/>
        <v>0</v>
      </c>
      <c r="R70" s="187"/>
      <c r="S70" s="6">
        <f t="shared" si="1"/>
        <v>14550</v>
      </c>
      <c r="T70" s="6">
        <v>-9425</v>
      </c>
      <c r="U70" s="6">
        <f t="shared" si="2"/>
        <v>5125</v>
      </c>
      <c r="V70" s="52"/>
      <c r="W70" s="57"/>
      <c r="X70" s="46"/>
      <c r="Y70" s="61"/>
      <c r="Z70" s="66">
        <f t="shared" si="3"/>
        <v>-14550</v>
      </c>
      <c r="AA70" s="61"/>
      <c r="AB70" s="67"/>
      <c r="AC70" s="61"/>
      <c r="AD70" s="66"/>
      <c r="AE70" s="61"/>
      <c r="AF70" s="52">
        <f t="shared" si="4"/>
        <v>-14550</v>
      </c>
      <c r="AG70" s="46">
        <f t="shared" si="5"/>
        <v>-9425</v>
      </c>
      <c r="AH70" s="51">
        <f t="shared" si="6"/>
        <v>-23975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36325</v>
      </c>
      <c r="D71" s="187">
        <v>6000</v>
      </c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7">
        <f t="shared" si="0"/>
        <v>0</v>
      </c>
      <c r="R71" s="187">
        <f>25+2400+3000</f>
        <v>5425</v>
      </c>
      <c r="S71" s="6">
        <f t="shared" si="1"/>
        <v>36900</v>
      </c>
      <c r="T71" s="6">
        <v>-27500</v>
      </c>
      <c r="U71" s="6">
        <f t="shared" si="2"/>
        <v>9400</v>
      </c>
      <c r="V71" s="52"/>
      <c r="W71" s="57"/>
      <c r="X71" s="46"/>
      <c r="Y71" s="61"/>
      <c r="Z71" s="66">
        <f t="shared" si="3"/>
        <v>-36900</v>
      </c>
      <c r="AA71" s="61"/>
      <c r="AB71" s="64"/>
      <c r="AC71" s="61"/>
      <c r="AD71" s="66"/>
      <c r="AE71" s="61"/>
      <c r="AF71" s="52">
        <f t="shared" si="4"/>
        <v>-36900</v>
      </c>
      <c r="AG71" s="46">
        <f t="shared" si="5"/>
        <v>-27500</v>
      </c>
      <c r="AH71" s="51">
        <f t="shared" si="6"/>
        <v>-64400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87">
        <f>SUM(C7:C72)</f>
        <v>393640</v>
      </c>
      <c r="D73" s="187">
        <f t="shared" ref="D73:V73" si="11">SUM(D7:D72)</f>
        <v>77700</v>
      </c>
      <c r="E73" s="187">
        <f t="shared" si="11"/>
        <v>0</v>
      </c>
      <c r="F73" s="187">
        <f t="shared" si="11"/>
        <v>0</v>
      </c>
      <c r="G73" s="187">
        <f t="shared" si="11"/>
        <v>0</v>
      </c>
      <c r="H73" s="27">
        <f t="shared" si="11"/>
        <v>0</v>
      </c>
      <c r="I73" s="187">
        <f t="shared" si="11"/>
        <v>0</v>
      </c>
      <c r="J73" s="187">
        <f t="shared" si="11"/>
        <v>0</v>
      </c>
      <c r="K73" s="187">
        <f t="shared" si="11"/>
        <v>0</v>
      </c>
      <c r="L73" s="187">
        <f t="shared" si="11"/>
        <v>0</v>
      </c>
      <c r="M73" s="187">
        <f t="shared" si="11"/>
        <v>0</v>
      </c>
      <c r="N73" s="187">
        <f t="shared" si="11"/>
        <v>0</v>
      </c>
      <c r="O73" s="187">
        <f t="shared" si="11"/>
        <v>0</v>
      </c>
      <c r="P73" s="187">
        <f t="shared" si="11"/>
        <v>0</v>
      </c>
      <c r="Q73" s="187">
        <f t="shared" si="11"/>
        <v>0</v>
      </c>
      <c r="R73" s="187">
        <f t="shared" si="11"/>
        <v>35365</v>
      </c>
      <c r="S73" s="187">
        <f t="shared" si="11"/>
        <v>435975</v>
      </c>
      <c r="T73" s="187">
        <f t="shared" si="11"/>
        <v>-286670</v>
      </c>
      <c r="U73" s="187">
        <f t="shared" si="11"/>
        <v>149305</v>
      </c>
      <c r="V73" s="187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-435975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-435975</v>
      </c>
      <c r="AG73" s="43">
        <f t="shared" si="12"/>
        <v>-286670</v>
      </c>
      <c r="AH73" s="43">
        <f t="shared" si="12"/>
        <v>-722645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19040+34230+16185+52765+57455+19000+30150+15160+25540+49550+7100+5800+25240+9300+63245+35645+52970+12050+29320+48350+57825+19950+25275+21485+43950+18035+46345+29300+32450</f>
        <v>902710</v>
      </c>
      <c r="S74" s="211"/>
      <c r="T74" s="212">
        <f>R74+R75</f>
        <v>2184465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77700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28525+29600+39100+3100+62165+29250+69870+73500+69085+35150+67115+10100+28325+96100+8100+72500+38200+65350+45650+14350+51700+38400+50810+17850+28350+44260+34675+52875+77700</f>
        <v>1281755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35365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76510+33035+58040+13475+68820+6900+95950+62450+44990+60525+45725+16920+92525+40300+26350+54650+41350+37870+27175+44700+85615+22280+37650+23900+28150+33080+55640+56425+35365</f>
        <v>1326365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6000+6000+6000+18000+5600+12250+7000+2800+12000+6000+11700+6000+12000+10800+2950+9800+6000+12000+6000+12000+6000+2700+6000+6000+6000+18000+6000+12000+12000+12000+6000</f>
        <v>263600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</f>
        <v>15600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291700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29200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48500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1034665</v>
      </c>
      <c r="S80" s="197"/>
      <c r="T80" s="22"/>
      <c r="U80" s="22"/>
      <c r="V80" s="2"/>
      <c r="X80" s="63">
        <f>SUM(X77:X79)</f>
        <v>77700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84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>
        <v>6000</v>
      </c>
      <c r="R109" s="36">
        <v>6000</v>
      </c>
      <c r="S109" s="36">
        <v>23</v>
      </c>
      <c r="T109" s="36">
        <v>37650</v>
      </c>
      <c r="U109" s="36">
        <v>23</v>
      </c>
      <c r="V109" s="36">
        <v>25275</v>
      </c>
      <c r="W109" s="36">
        <v>50810</v>
      </c>
      <c r="X109" s="36">
        <f t="shared" si="13"/>
        <v>76085</v>
      </c>
    </row>
    <row r="110" spans="15:26">
      <c r="O110" s="36"/>
      <c r="P110" s="36"/>
      <c r="Q110" s="36"/>
      <c r="R110" s="36">
        <v>6000</v>
      </c>
      <c r="S110" s="36">
        <v>24</v>
      </c>
      <c r="T110" s="36">
        <v>23900</v>
      </c>
      <c r="U110" s="36">
        <v>24</v>
      </c>
      <c r="V110" s="36">
        <v>21485</v>
      </c>
      <c r="W110" s="36">
        <v>17850</v>
      </c>
      <c r="X110" s="36">
        <f t="shared" si="13"/>
        <v>39335</v>
      </c>
    </row>
    <row r="111" spans="15:26">
      <c r="O111" s="36"/>
      <c r="P111" s="36"/>
      <c r="Q111" s="36"/>
      <c r="R111" s="36">
        <v>6000</v>
      </c>
      <c r="S111" s="36">
        <v>25</v>
      </c>
      <c r="T111" s="36"/>
      <c r="U111" s="36">
        <v>25</v>
      </c>
      <c r="V111" s="36">
        <v>43950</v>
      </c>
      <c r="W111" s="36"/>
      <c r="X111" s="36">
        <f t="shared" si="13"/>
        <v>43950</v>
      </c>
    </row>
    <row r="112" spans="15:26">
      <c r="O112" s="36"/>
      <c r="P112" s="36"/>
      <c r="Q112" s="36"/>
      <c r="R112" s="36">
        <v>12000</v>
      </c>
      <c r="S112" s="36">
        <v>26</v>
      </c>
      <c r="T112" s="36">
        <v>28150</v>
      </c>
      <c r="U112" s="36">
        <v>26</v>
      </c>
      <c r="V112" s="36">
        <v>18035</v>
      </c>
      <c r="W112" s="36">
        <v>28350</v>
      </c>
      <c r="X112" s="36">
        <f t="shared" si="13"/>
        <v>46385</v>
      </c>
    </row>
    <row r="113" spans="15:27">
      <c r="O113" s="36"/>
      <c r="P113" s="36"/>
      <c r="Q113" s="36"/>
      <c r="R113" s="36">
        <v>6000</v>
      </c>
      <c r="S113" s="36">
        <v>27</v>
      </c>
      <c r="T113" s="36">
        <v>33080</v>
      </c>
      <c r="U113" s="36">
        <v>27</v>
      </c>
      <c r="V113" s="36">
        <v>46345</v>
      </c>
      <c r="W113" s="36">
        <v>44260</v>
      </c>
      <c r="X113" s="36">
        <f t="shared" si="13"/>
        <v>90605</v>
      </c>
    </row>
    <row r="114" spans="15:27">
      <c r="O114" s="36"/>
      <c r="P114" s="36"/>
      <c r="Q114" s="36"/>
      <c r="R114" s="36">
        <v>12000</v>
      </c>
      <c r="S114" s="36">
        <v>28</v>
      </c>
      <c r="T114" s="36">
        <v>55640</v>
      </c>
      <c r="U114" s="36">
        <v>28</v>
      </c>
      <c r="V114" s="36">
        <v>29300</v>
      </c>
      <c r="W114" s="36">
        <v>34675</v>
      </c>
      <c r="X114" s="36">
        <f t="shared" si="13"/>
        <v>63975</v>
      </c>
    </row>
    <row r="115" spans="15:27">
      <c r="O115" s="36"/>
      <c r="P115" s="36"/>
      <c r="Q115" s="36"/>
      <c r="R115" s="36">
        <v>6000</v>
      </c>
      <c r="S115" s="36">
        <v>29</v>
      </c>
      <c r="T115" s="36">
        <v>56425</v>
      </c>
      <c r="U115" s="36">
        <v>29</v>
      </c>
      <c r="V115" s="36">
        <v>32450</v>
      </c>
      <c r="W115" s="36">
        <v>52875</v>
      </c>
      <c r="X115" s="36">
        <f t="shared" si="13"/>
        <v>85325</v>
      </c>
    </row>
    <row r="116" spans="15:27">
      <c r="O116" s="36"/>
      <c r="P116" s="36"/>
      <c r="Q116" s="36"/>
      <c r="R116" s="36">
        <v>12000</v>
      </c>
      <c r="S116" s="36">
        <v>30</v>
      </c>
      <c r="T116" s="36">
        <v>35365</v>
      </c>
      <c r="U116" s="36">
        <v>30</v>
      </c>
      <c r="V116" s="36"/>
      <c r="W116" s="36">
        <v>77700</v>
      </c>
      <c r="X116" s="36">
        <f t="shared" si="13"/>
        <v>77700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27600</v>
      </c>
      <c r="R118" s="63">
        <f t="shared" si="14"/>
        <v>263600</v>
      </c>
      <c r="S118" s="63"/>
      <c r="T118" s="63">
        <f>SUM(T87:T117)</f>
        <v>1326365</v>
      </c>
      <c r="U118" s="63"/>
      <c r="V118" s="63">
        <f>SUM(V87:V117)</f>
        <v>902710</v>
      </c>
      <c r="W118" s="63">
        <f>SUM(W87:W117)</f>
        <v>1281755</v>
      </c>
      <c r="X118" s="36">
        <f>SUM(V118:W118)</f>
        <v>2184465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W145"/>
  <sheetViews>
    <sheetView tabSelected="1" zoomScale="115" zoomScaleNormal="115" workbookViewId="0">
      <pane xSplit="2" ySplit="6" topLeftCell="C7" activePane="bottomRight" state="frozen"/>
      <selection activeCell="O32" sqref="O32"/>
      <selection pane="topRight" activeCell="O32" sqref="O32"/>
      <selection pane="bottomLeft" activeCell="O32" sqref="O32"/>
      <selection pane="bottomRight" activeCell="J11" sqref="J11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193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173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170</v>
      </c>
      <c r="N6" s="37" t="s">
        <v>140</v>
      </c>
      <c r="O6" s="37" t="s">
        <v>157</v>
      </c>
      <c r="P6" s="171" t="s">
        <v>187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15650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500+2000</f>
        <v>2500</v>
      </c>
      <c r="S7" s="6">
        <f>C7+D7-R7</f>
        <v>13150</v>
      </c>
      <c r="T7" s="34">
        <v>-9150</v>
      </c>
      <c r="U7" s="6">
        <f>S7+T7</f>
        <v>4000</v>
      </c>
      <c r="V7" s="52"/>
      <c r="W7" s="57"/>
      <c r="X7" s="46"/>
      <c r="Y7" s="65"/>
      <c r="Z7" s="66">
        <f>W7-S7</f>
        <v>-13150</v>
      </c>
      <c r="AA7" s="65"/>
      <c r="AB7" s="67"/>
      <c r="AC7" s="65"/>
      <c r="AD7" s="47"/>
      <c r="AE7" s="61"/>
      <c r="AF7" s="52">
        <f>SUM(Y7:AE7)</f>
        <v>-13150</v>
      </c>
      <c r="AG7" s="46">
        <f>U7+AF7</f>
        <v>-9150</v>
      </c>
      <c r="AH7" s="51">
        <f>AG7-S7</f>
        <v>-22300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39050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v>2500</v>
      </c>
      <c r="S8" s="6">
        <f t="shared" ref="S8:S71" si="1">C8+D8-R8</f>
        <v>36550</v>
      </c>
      <c r="T8" s="6">
        <v>-24350</v>
      </c>
      <c r="U8" s="6">
        <f t="shared" ref="U8:U71" si="2">S8+T8</f>
        <v>12200</v>
      </c>
      <c r="V8" s="52"/>
      <c r="W8" s="57"/>
      <c r="X8" s="46"/>
      <c r="Y8" s="61"/>
      <c r="Z8" s="66">
        <f t="shared" ref="Z8:Z71" si="3">W8-S8</f>
        <v>-36550</v>
      </c>
      <c r="AA8" s="61"/>
      <c r="AB8" s="67"/>
      <c r="AC8" s="61"/>
      <c r="AD8" s="66"/>
      <c r="AE8" s="61"/>
      <c r="AF8" s="52">
        <f t="shared" ref="AF8:AF71" si="4">SUM(Y8:AE8)</f>
        <v>-36550</v>
      </c>
      <c r="AG8" s="46">
        <f t="shared" ref="AG8:AG71" si="5">U8+AF8</f>
        <v>-24350</v>
      </c>
      <c r="AH8" s="51">
        <f t="shared" ref="AH8:AH71" si="6">AG8-S8</f>
        <v>-60900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8200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8200</v>
      </c>
      <c r="T11" s="6">
        <v>-3750</v>
      </c>
      <c r="U11" s="6">
        <f t="shared" si="2"/>
        <v>4450</v>
      </c>
      <c r="V11" s="52"/>
      <c r="W11" s="57"/>
      <c r="X11" s="46"/>
      <c r="Y11" s="61"/>
      <c r="Z11" s="66">
        <f t="shared" si="3"/>
        <v>-8200</v>
      </c>
      <c r="AA11" s="61"/>
      <c r="AB11" s="67"/>
      <c r="AC11" s="61"/>
      <c r="AD11" s="66"/>
      <c r="AE11" s="61"/>
      <c r="AF11" s="52">
        <f t="shared" si="4"/>
        <v>-8200</v>
      </c>
      <c r="AG11" s="46">
        <f t="shared" si="5"/>
        <v>-3750</v>
      </c>
      <c r="AH11" s="51">
        <f t="shared" si="6"/>
        <v>-11950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2700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500</v>
      </c>
      <c r="S12" s="6">
        <f t="shared" si="1"/>
        <v>2200</v>
      </c>
      <c r="T12" s="6">
        <v>4700</v>
      </c>
      <c r="U12" s="6">
        <f t="shared" si="2"/>
        <v>6900</v>
      </c>
      <c r="V12" s="52"/>
      <c r="W12" s="57"/>
      <c r="X12" s="46"/>
      <c r="Y12" s="61"/>
      <c r="Z12" s="66">
        <f t="shared" si="3"/>
        <v>-2200</v>
      </c>
      <c r="AA12" s="61"/>
      <c r="AB12" s="67"/>
      <c r="AC12" s="61"/>
      <c r="AD12" s="66"/>
      <c r="AE12" s="61"/>
      <c r="AF12" s="52">
        <f t="shared" si="4"/>
        <v>-2200</v>
      </c>
      <c r="AG12" s="46">
        <f t="shared" si="5"/>
        <v>4700</v>
      </c>
      <c r="AH12" s="51">
        <f t="shared" si="6"/>
        <v>2500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35510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1500+4000+1000+100</f>
        <v>6600</v>
      </c>
      <c r="S14" s="6">
        <f t="shared" si="1"/>
        <v>28910</v>
      </c>
      <c r="T14" s="6">
        <v>-5760</v>
      </c>
      <c r="U14" s="6">
        <f t="shared" si="2"/>
        <v>23150</v>
      </c>
      <c r="V14" s="52"/>
      <c r="W14" s="57"/>
      <c r="X14" s="46"/>
      <c r="Y14" s="61"/>
      <c r="Z14" s="66">
        <f t="shared" si="3"/>
        <v>-28910</v>
      </c>
      <c r="AA14" s="61"/>
      <c r="AB14" s="66"/>
      <c r="AC14" s="61"/>
      <c r="AD14" s="66"/>
      <c r="AE14" s="61"/>
      <c r="AF14" s="52">
        <f t="shared" si="4"/>
        <v>-28910</v>
      </c>
      <c r="AG14" s="46">
        <f t="shared" si="5"/>
        <v>-5760</v>
      </c>
      <c r="AH14" s="51">
        <f t="shared" si="6"/>
        <v>-34670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12250</v>
      </c>
      <c r="D16" s="6">
        <v>3000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f>250+1500</f>
        <v>1750</v>
      </c>
      <c r="S16" s="6">
        <f t="shared" si="1"/>
        <v>13500</v>
      </c>
      <c r="T16" s="34">
        <v>-10050</v>
      </c>
      <c r="U16" s="6">
        <f t="shared" si="2"/>
        <v>3450</v>
      </c>
      <c r="V16" s="52"/>
      <c r="W16" s="57"/>
      <c r="X16" s="46"/>
      <c r="Y16" s="61"/>
      <c r="Z16" s="66">
        <f t="shared" si="3"/>
        <v>-13500</v>
      </c>
      <c r="AA16" s="61"/>
      <c r="AB16" s="67"/>
      <c r="AC16" s="61"/>
      <c r="AD16" s="47"/>
      <c r="AE16" s="61"/>
      <c r="AF16" s="52">
        <f t="shared" si="4"/>
        <v>-13500</v>
      </c>
      <c r="AG16" s="46">
        <f t="shared" si="5"/>
        <v>-10050</v>
      </c>
      <c r="AH16" s="51">
        <f t="shared" si="6"/>
        <v>-23550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10700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1000+2000</f>
        <v>3000</v>
      </c>
      <c r="S17" s="6">
        <f t="shared" si="1"/>
        <v>7700</v>
      </c>
      <c r="T17" s="6">
        <v>-5000</v>
      </c>
      <c r="U17" s="6">
        <f t="shared" si="2"/>
        <v>2700</v>
      </c>
      <c r="V17" s="52"/>
      <c r="W17" s="57"/>
      <c r="X17" s="46"/>
      <c r="Y17" s="61"/>
      <c r="Z17" s="66">
        <f t="shared" si="3"/>
        <v>-7700</v>
      </c>
      <c r="AA17" s="61"/>
      <c r="AB17" s="66"/>
      <c r="AC17" s="61"/>
      <c r="AD17" s="66"/>
      <c r="AE17" s="61"/>
      <c r="AF17" s="52">
        <f t="shared" si="4"/>
        <v>-7700</v>
      </c>
      <c r="AG17" s="46">
        <f t="shared" si="5"/>
        <v>-5000</v>
      </c>
      <c r="AH17" s="51">
        <f t="shared" si="6"/>
        <v>-12700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9420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9420</v>
      </c>
      <c r="T19" s="6">
        <v>-8940</v>
      </c>
      <c r="U19" s="6">
        <f t="shared" si="2"/>
        <v>480</v>
      </c>
      <c r="V19" s="52"/>
      <c r="W19" s="57"/>
      <c r="X19" s="46"/>
      <c r="Y19" s="61"/>
      <c r="Z19" s="66">
        <f t="shared" si="3"/>
        <v>-9420</v>
      </c>
      <c r="AA19" s="61"/>
      <c r="AB19" s="67"/>
      <c r="AC19" s="61"/>
      <c r="AD19" s="66"/>
      <c r="AE19" s="61"/>
      <c r="AF19" s="52">
        <f t="shared" si="4"/>
        <v>-9420</v>
      </c>
      <c r="AG19" s="46">
        <f t="shared" si="5"/>
        <v>-8940</v>
      </c>
      <c r="AH19" s="51">
        <f t="shared" si="6"/>
        <v>-18360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2925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2925</v>
      </c>
      <c r="T20" s="6">
        <v>-1605</v>
      </c>
      <c r="U20" s="6">
        <f t="shared" si="2"/>
        <v>1320</v>
      </c>
      <c r="V20" s="52"/>
      <c r="W20" s="57"/>
      <c r="X20" s="46"/>
      <c r="Y20" s="61"/>
      <c r="Z20" s="66">
        <f t="shared" si="3"/>
        <v>-2925</v>
      </c>
      <c r="AA20" s="61"/>
      <c r="AB20" s="67"/>
      <c r="AC20" s="61"/>
      <c r="AD20" s="66"/>
      <c r="AE20" s="61"/>
      <c r="AF20" s="52">
        <f t="shared" si="4"/>
        <v>-2925</v>
      </c>
      <c r="AG20" s="46">
        <f t="shared" si="5"/>
        <v>-1605</v>
      </c>
      <c r="AH20" s="51">
        <f t="shared" si="6"/>
        <v>-4530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1280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1280</v>
      </c>
      <c r="T21" s="6">
        <v>-1280</v>
      </c>
      <c r="U21" s="6">
        <f t="shared" si="2"/>
        <v>0</v>
      </c>
      <c r="V21" s="52"/>
      <c r="W21" s="57"/>
      <c r="X21" s="46"/>
      <c r="Y21" s="61"/>
      <c r="Z21" s="66">
        <f t="shared" si="3"/>
        <v>-1280</v>
      </c>
      <c r="AA21" s="61"/>
      <c r="AB21" s="67"/>
      <c r="AC21" s="61"/>
      <c r="AD21" s="66"/>
      <c r="AE21" s="61"/>
      <c r="AF21" s="52">
        <f t="shared" si="4"/>
        <v>-1280</v>
      </c>
      <c r="AG21" s="46">
        <f t="shared" si="5"/>
        <v>-1280</v>
      </c>
      <c r="AH21" s="51">
        <f t="shared" si="6"/>
        <v>-2560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7">
        <f t="shared" si="0"/>
        <v>0</v>
      </c>
      <c r="R22" s="191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7">
        <f t="shared" si="0"/>
        <v>0</v>
      </c>
      <c r="R24" s="191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7">
        <f t="shared" si="0"/>
        <v>0</v>
      </c>
      <c r="R25" s="191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7">
        <f t="shared" si="0"/>
        <v>0</v>
      </c>
      <c r="R26" s="191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5060</v>
      </c>
      <c r="D27" s="6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7">
        <f t="shared" si="0"/>
        <v>0</v>
      </c>
      <c r="R27" s="191"/>
      <c r="S27" s="6">
        <f t="shared" si="1"/>
        <v>5060</v>
      </c>
      <c r="T27" s="6">
        <v>-40</v>
      </c>
      <c r="U27" s="6">
        <f t="shared" si="2"/>
        <v>5020</v>
      </c>
      <c r="V27" s="52"/>
      <c r="W27" s="57"/>
      <c r="X27" s="46"/>
      <c r="Y27" s="61"/>
      <c r="Z27" s="66">
        <f t="shared" si="3"/>
        <v>-5060</v>
      </c>
      <c r="AA27" s="61"/>
      <c r="AB27" s="67"/>
      <c r="AC27" s="61"/>
      <c r="AD27" s="66"/>
      <c r="AE27" s="61"/>
      <c r="AF27" s="52">
        <f t="shared" si="4"/>
        <v>-5060</v>
      </c>
      <c r="AG27" s="46">
        <f t="shared" si="5"/>
        <v>-40</v>
      </c>
      <c r="AH27" s="51">
        <f t="shared" si="6"/>
        <v>-5100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5600</v>
      </c>
      <c r="D28" s="6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7">
        <f t="shared" si="0"/>
        <v>0</v>
      </c>
      <c r="R28" s="191"/>
      <c r="S28" s="6">
        <f t="shared" si="1"/>
        <v>5600</v>
      </c>
      <c r="T28" s="6">
        <f>-40-100</f>
        <v>-140</v>
      </c>
      <c r="U28" s="6">
        <f t="shared" si="2"/>
        <v>5460</v>
      </c>
      <c r="V28" s="52"/>
      <c r="W28" s="57"/>
      <c r="X28" s="46"/>
      <c r="Y28" s="61"/>
      <c r="Z28" s="66">
        <f t="shared" si="3"/>
        <v>-5600</v>
      </c>
      <c r="AA28" s="61"/>
      <c r="AB28" s="67"/>
      <c r="AC28" s="61"/>
      <c r="AD28" s="66"/>
      <c r="AE28" s="61"/>
      <c r="AF28" s="52">
        <f t="shared" si="4"/>
        <v>-5600</v>
      </c>
      <c r="AG28" s="46">
        <f t="shared" si="5"/>
        <v>-140</v>
      </c>
      <c r="AH28" s="51">
        <f t="shared" si="6"/>
        <v>-5740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3480</v>
      </c>
      <c r="D29" s="6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7">
        <f t="shared" si="0"/>
        <v>0</v>
      </c>
      <c r="R29" s="191"/>
      <c r="S29" s="6">
        <f t="shared" si="1"/>
        <v>3480</v>
      </c>
      <c r="T29" s="6">
        <f>860+100</f>
        <v>960</v>
      </c>
      <c r="U29" s="6">
        <f t="shared" si="2"/>
        <v>4440</v>
      </c>
      <c r="V29" s="52"/>
      <c r="W29" s="57"/>
      <c r="X29" s="46"/>
      <c r="Y29" s="61"/>
      <c r="Z29" s="66">
        <f t="shared" si="3"/>
        <v>-3480</v>
      </c>
      <c r="AA29" s="61"/>
      <c r="AB29" s="67"/>
      <c r="AC29" s="61"/>
      <c r="AD29" s="66"/>
      <c r="AE29" s="61"/>
      <c r="AF29" s="52">
        <f t="shared" si="4"/>
        <v>-3480</v>
      </c>
      <c r="AG29" s="46">
        <f t="shared" si="5"/>
        <v>960</v>
      </c>
      <c r="AH29" s="51">
        <f t="shared" si="6"/>
        <v>-2520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19490</v>
      </c>
      <c r="D30" s="6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7">
        <f t="shared" si="0"/>
        <v>0</v>
      </c>
      <c r="R30" s="191"/>
      <c r="S30" s="6">
        <f t="shared" si="1"/>
        <v>19490</v>
      </c>
      <c r="T30" s="6">
        <v>-18970</v>
      </c>
      <c r="U30" s="6">
        <f t="shared" si="2"/>
        <v>520</v>
      </c>
      <c r="V30" s="52"/>
      <c r="W30" s="57"/>
      <c r="X30" s="46"/>
      <c r="Y30" s="61"/>
      <c r="Z30" s="66">
        <f t="shared" si="3"/>
        <v>-19490</v>
      </c>
      <c r="AA30" s="61"/>
      <c r="AB30" s="67"/>
      <c r="AC30" s="61"/>
      <c r="AD30" s="66"/>
      <c r="AE30" s="61"/>
      <c r="AF30" s="52">
        <f t="shared" si="4"/>
        <v>-19490</v>
      </c>
      <c r="AG30" s="46">
        <f t="shared" si="5"/>
        <v>-18970</v>
      </c>
      <c r="AH30" s="51">
        <f t="shared" si="6"/>
        <v>-38460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18640</v>
      </c>
      <c r="D31" s="6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7">
        <f t="shared" si="0"/>
        <v>0</v>
      </c>
      <c r="R31" s="191"/>
      <c r="S31" s="6">
        <f t="shared" si="1"/>
        <v>18640</v>
      </c>
      <c r="T31" s="6">
        <v>-17180</v>
      </c>
      <c r="U31" s="6">
        <f t="shared" si="2"/>
        <v>1460</v>
      </c>
      <c r="V31" s="52"/>
      <c r="W31" s="57"/>
      <c r="X31" s="46"/>
      <c r="Y31" s="61"/>
      <c r="Z31" s="66">
        <f t="shared" si="3"/>
        <v>-18640</v>
      </c>
      <c r="AA31" s="61"/>
      <c r="AB31" s="64"/>
      <c r="AC31" s="61"/>
      <c r="AD31" s="66"/>
      <c r="AE31" s="61"/>
      <c r="AF31" s="52">
        <f t="shared" si="4"/>
        <v>-18640</v>
      </c>
      <c r="AG31" s="46">
        <f t="shared" si="5"/>
        <v>-17180</v>
      </c>
      <c r="AH31" s="51">
        <f t="shared" si="6"/>
        <v>-35820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21160</v>
      </c>
      <c r="D32" s="6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6"/>
      <c r="P32" s="6"/>
      <c r="Q32" s="7">
        <f>SUM(E32:P32)</f>
        <v>0</v>
      </c>
      <c r="R32" s="191">
        <f>500+2000</f>
        <v>2500</v>
      </c>
      <c r="S32" s="6">
        <f t="shared" si="1"/>
        <v>18660</v>
      </c>
      <c r="T32" s="6">
        <v>-18280</v>
      </c>
      <c r="U32" s="6">
        <f t="shared" si="2"/>
        <v>380</v>
      </c>
      <c r="V32" s="52"/>
      <c r="W32" s="57"/>
      <c r="X32" s="46"/>
      <c r="Y32" s="61"/>
      <c r="Z32" s="66">
        <f t="shared" si="3"/>
        <v>-18660</v>
      </c>
      <c r="AA32" s="61"/>
      <c r="AB32" s="67"/>
      <c r="AC32" s="61"/>
      <c r="AD32" s="66"/>
      <c r="AE32" s="61"/>
      <c r="AF32" s="52">
        <f t="shared" si="4"/>
        <v>-18660</v>
      </c>
      <c r="AG32" s="46">
        <f t="shared" si="5"/>
        <v>-18280</v>
      </c>
      <c r="AH32" s="51">
        <f t="shared" si="6"/>
        <v>-36940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7">
        <f t="shared" si="0"/>
        <v>0</v>
      </c>
      <c r="R33" s="191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1760</v>
      </c>
      <c r="D34" s="6"/>
      <c r="E34" s="191"/>
      <c r="F34" s="191"/>
      <c r="G34" s="191"/>
      <c r="H34" s="191"/>
      <c r="I34" s="191"/>
      <c r="J34" s="191"/>
      <c r="K34" s="6"/>
      <c r="L34" s="191"/>
      <c r="M34" s="191"/>
      <c r="N34" s="191"/>
      <c r="O34" s="191"/>
      <c r="P34" s="191"/>
      <c r="Q34" s="7">
        <f t="shared" si="0"/>
        <v>0</v>
      </c>
      <c r="R34" s="191"/>
      <c r="S34" s="6">
        <f t="shared" si="1"/>
        <v>1760</v>
      </c>
      <c r="T34" s="6">
        <v>2960</v>
      </c>
      <c r="U34" s="6">
        <f t="shared" si="2"/>
        <v>4720</v>
      </c>
      <c r="V34" s="52"/>
      <c r="W34" s="57"/>
      <c r="X34" s="46"/>
      <c r="Y34" s="61"/>
      <c r="Z34" s="66">
        <f t="shared" si="3"/>
        <v>-1760</v>
      </c>
      <c r="AA34" s="61"/>
      <c r="AB34" s="67"/>
      <c r="AC34" s="61"/>
      <c r="AD34" s="66"/>
      <c r="AE34" s="61"/>
      <c r="AF34" s="52">
        <f t="shared" si="4"/>
        <v>-1760</v>
      </c>
      <c r="AG34" s="46">
        <f t="shared" si="5"/>
        <v>2960</v>
      </c>
      <c r="AH34" s="51">
        <f t="shared" si="6"/>
        <v>1200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4720</v>
      </c>
      <c r="D35" s="6"/>
      <c r="E35" s="191"/>
      <c r="F35" s="191"/>
      <c r="G35" s="191"/>
      <c r="H35" s="191"/>
      <c r="I35" s="191"/>
      <c r="J35" s="191"/>
      <c r="K35" s="6"/>
      <c r="L35" s="191"/>
      <c r="M35" s="191"/>
      <c r="N35" s="191"/>
      <c r="O35" s="191"/>
      <c r="P35" s="191"/>
      <c r="Q35" s="7">
        <f t="shared" si="0"/>
        <v>0</v>
      </c>
      <c r="R35" s="191">
        <v>1000</v>
      </c>
      <c r="S35" s="6">
        <f t="shared" si="1"/>
        <v>3720</v>
      </c>
      <c r="T35" s="6">
        <v>-1760</v>
      </c>
      <c r="U35" s="6">
        <f t="shared" si="2"/>
        <v>1960</v>
      </c>
      <c r="V35" s="52"/>
      <c r="W35" s="57"/>
      <c r="X35" s="46"/>
      <c r="Y35" s="61"/>
      <c r="Z35" s="66">
        <f t="shared" si="3"/>
        <v>-3720</v>
      </c>
      <c r="AA35" s="61"/>
      <c r="AB35" s="67"/>
      <c r="AC35" s="61"/>
      <c r="AD35" s="66"/>
      <c r="AE35" s="61"/>
      <c r="AF35" s="52">
        <f t="shared" si="4"/>
        <v>-3720</v>
      </c>
      <c r="AG35" s="46">
        <f t="shared" si="5"/>
        <v>-1760</v>
      </c>
      <c r="AH35" s="51">
        <f t="shared" si="6"/>
        <v>-5480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540</v>
      </c>
      <c r="D36" s="6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7">
        <f t="shared" si="0"/>
        <v>0</v>
      </c>
      <c r="R36" s="191"/>
      <c r="S36" s="6">
        <f t="shared" si="1"/>
        <v>540</v>
      </c>
      <c r="T36" s="6">
        <v>-540</v>
      </c>
      <c r="U36" s="6">
        <f t="shared" si="2"/>
        <v>0</v>
      </c>
      <c r="V36" s="52"/>
      <c r="W36" s="57"/>
      <c r="X36" s="46"/>
      <c r="Y36" s="61"/>
      <c r="Z36" s="66">
        <f t="shared" si="3"/>
        <v>-540</v>
      </c>
      <c r="AA36" s="61"/>
      <c r="AB36" s="64"/>
      <c r="AC36" s="61"/>
      <c r="AD36" s="66"/>
      <c r="AE36" s="61"/>
      <c r="AF36" s="52">
        <f t="shared" si="4"/>
        <v>-540</v>
      </c>
      <c r="AG36" s="46">
        <f t="shared" si="5"/>
        <v>-540</v>
      </c>
      <c r="AH36" s="51">
        <f t="shared" si="6"/>
        <v>-1080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7">
        <f t="shared" si="0"/>
        <v>0</v>
      </c>
      <c r="R37" s="191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1880</v>
      </c>
      <c r="D38" s="6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7">
        <f>SUM(E38:P38)</f>
        <v>0</v>
      </c>
      <c r="R38" s="191"/>
      <c r="S38" s="6">
        <f t="shared" si="1"/>
        <v>1880</v>
      </c>
      <c r="T38" s="6">
        <v>-1340</v>
      </c>
      <c r="U38" s="6">
        <f t="shared" si="2"/>
        <v>540</v>
      </c>
      <c r="V38" s="52"/>
      <c r="W38" s="57"/>
      <c r="X38" s="46"/>
      <c r="Y38" s="61"/>
      <c r="Z38" s="66">
        <f t="shared" si="3"/>
        <v>-1880</v>
      </c>
      <c r="AA38" s="61"/>
      <c r="AB38" s="64"/>
      <c r="AC38" s="61"/>
      <c r="AD38" s="66"/>
      <c r="AE38" s="61"/>
      <c r="AF38" s="52">
        <f t="shared" si="4"/>
        <v>-1880</v>
      </c>
      <c r="AG38" s="46">
        <f t="shared" si="5"/>
        <v>-1340</v>
      </c>
      <c r="AH38" s="51">
        <f t="shared" si="6"/>
        <v>-3220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7">
        <f>SUM(E39:P39)</f>
        <v>0</v>
      </c>
      <c r="R39" s="191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191"/>
      <c r="F40" s="191"/>
      <c r="G40" s="191"/>
      <c r="H40" s="27"/>
      <c r="I40" s="191"/>
      <c r="J40" s="191"/>
      <c r="K40" s="191"/>
      <c r="L40" s="191"/>
      <c r="M40" s="191"/>
      <c r="N40" s="191"/>
      <c r="O40" s="191"/>
      <c r="P40" s="191"/>
      <c r="Q40" s="7">
        <f>SUM(E40:P40)</f>
        <v>0</v>
      </c>
      <c r="R40" s="191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7">
        <f>SUM(E41:P41)</f>
        <v>0</v>
      </c>
      <c r="R41" s="191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2720</v>
      </c>
      <c r="D42" s="6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7">
        <f>SUM(E42:P42)</f>
        <v>0</v>
      </c>
      <c r="R42" s="191"/>
      <c r="S42" s="6">
        <f t="shared" si="1"/>
        <v>2720</v>
      </c>
      <c r="T42" s="6">
        <v>-1920</v>
      </c>
      <c r="U42" s="6">
        <f t="shared" si="2"/>
        <v>800</v>
      </c>
      <c r="V42" s="52"/>
      <c r="W42" s="57"/>
      <c r="X42" s="46"/>
      <c r="Y42" s="61"/>
      <c r="Z42" s="66">
        <f t="shared" si="3"/>
        <v>-2720</v>
      </c>
      <c r="AA42" s="61"/>
      <c r="AB42" s="67"/>
      <c r="AC42" s="61"/>
      <c r="AD42" s="66"/>
      <c r="AE42" s="61"/>
      <c r="AF42" s="52">
        <f t="shared" si="4"/>
        <v>-2720</v>
      </c>
      <c r="AG42" s="46">
        <f t="shared" si="5"/>
        <v>-1920</v>
      </c>
      <c r="AH42" s="51">
        <f t="shared" si="6"/>
        <v>-4640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7">
        <f t="shared" si="0"/>
        <v>0</v>
      </c>
      <c r="R44" s="191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7">
        <f t="shared" si="0"/>
        <v>0</v>
      </c>
      <c r="R45" s="191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7">
        <f t="shared" si="0"/>
        <v>0</v>
      </c>
      <c r="R46" s="191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7">
        <f t="shared" si="0"/>
        <v>0</v>
      </c>
      <c r="R47" s="191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7">
        <f t="shared" si="0"/>
        <v>0</v>
      </c>
      <c r="R48" s="191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7">
        <f t="shared" si="0"/>
        <v>0</v>
      </c>
      <c r="R49" s="191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5950</v>
      </c>
      <c r="D50" s="6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7">
        <f t="shared" si="0"/>
        <v>0</v>
      </c>
      <c r="R50" s="191"/>
      <c r="S50" s="6">
        <f t="shared" si="1"/>
        <v>5950</v>
      </c>
      <c r="T50" s="6">
        <f>-12000+8615</f>
        <v>-3385</v>
      </c>
      <c r="U50" s="6">
        <f t="shared" si="2"/>
        <v>2565</v>
      </c>
      <c r="V50" s="52"/>
      <c r="W50" s="57"/>
      <c r="X50" s="46"/>
      <c r="Y50" s="61"/>
      <c r="Z50" s="66">
        <f t="shared" si="3"/>
        <v>-5950</v>
      </c>
      <c r="AA50" s="61"/>
      <c r="AB50" s="64"/>
      <c r="AC50" s="61"/>
      <c r="AD50" s="66"/>
      <c r="AE50" s="61"/>
      <c r="AF50" s="52">
        <f t="shared" si="4"/>
        <v>-5950</v>
      </c>
      <c r="AG50" s="46">
        <f t="shared" si="5"/>
        <v>-3385</v>
      </c>
      <c r="AH50" s="51">
        <f t="shared" si="6"/>
        <v>-9335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7">
        <f t="shared" si="0"/>
        <v>0</v>
      </c>
      <c r="R51" s="191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7">
        <f t="shared" si="0"/>
        <v>0</v>
      </c>
      <c r="R52" s="191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13025</v>
      </c>
      <c r="D53" s="6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7">
        <f t="shared" si="0"/>
        <v>0</v>
      </c>
      <c r="R53" s="191"/>
      <c r="S53" s="6">
        <f t="shared" si="1"/>
        <v>13025</v>
      </c>
      <c r="T53" s="6">
        <v>-11550</v>
      </c>
      <c r="U53" s="6">
        <f t="shared" si="2"/>
        <v>1475</v>
      </c>
      <c r="V53" s="52"/>
      <c r="W53" s="57"/>
      <c r="X53" s="46"/>
      <c r="Y53" s="61"/>
      <c r="Z53" s="66">
        <f t="shared" si="3"/>
        <v>-13025</v>
      </c>
      <c r="AA53" s="61"/>
      <c r="AB53" s="67"/>
      <c r="AC53" s="61"/>
      <c r="AD53" s="66"/>
      <c r="AE53" s="61"/>
      <c r="AF53" s="52">
        <f t="shared" si="4"/>
        <v>-13025</v>
      </c>
      <c r="AG53" s="46">
        <f t="shared" si="5"/>
        <v>-11550</v>
      </c>
      <c r="AH53" s="51">
        <f t="shared" si="6"/>
        <v>-24575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3750</v>
      </c>
      <c r="D54" s="6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7">
        <f t="shared" si="0"/>
        <v>0</v>
      </c>
      <c r="R54" s="191"/>
      <c r="S54" s="6">
        <f t="shared" si="1"/>
        <v>3750</v>
      </c>
      <c r="T54" s="6">
        <v>-2850</v>
      </c>
      <c r="U54" s="6">
        <f t="shared" si="2"/>
        <v>900</v>
      </c>
      <c r="V54" s="52"/>
      <c r="W54" s="57"/>
      <c r="X54" s="46"/>
      <c r="Y54" s="61"/>
      <c r="Z54" s="66">
        <f t="shared" si="3"/>
        <v>-3750</v>
      </c>
      <c r="AA54" s="61"/>
      <c r="AB54" s="67"/>
      <c r="AC54" s="61"/>
      <c r="AD54" s="66"/>
      <c r="AE54" s="61"/>
      <c r="AF54" s="52">
        <f t="shared" si="4"/>
        <v>-3750</v>
      </c>
      <c r="AG54" s="46">
        <f t="shared" si="5"/>
        <v>-2850</v>
      </c>
      <c r="AH54" s="51">
        <f t="shared" si="6"/>
        <v>-6600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7">
        <f t="shared" si="0"/>
        <v>0</v>
      </c>
      <c r="R55" s="191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7">
        <f>SUM(E56:P56)</f>
        <v>0</v>
      </c>
      <c r="R56" s="191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7">
        <f t="shared" si="0"/>
        <v>0</v>
      </c>
      <c r="R61" s="191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7">
        <f t="shared" si="0"/>
        <v>0</v>
      </c>
      <c r="R62" s="190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7">
        <f t="shared" si="0"/>
        <v>0</v>
      </c>
      <c r="R63" s="190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7">
        <f t="shared" si="0"/>
        <v>0</v>
      </c>
      <c r="R64" s="190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1675</v>
      </c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7">
        <f t="shared" si="0"/>
        <v>0</v>
      </c>
      <c r="R65" s="190"/>
      <c r="S65" s="6">
        <f t="shared" si="1"/>
        <v>1675</v>
      </c>
      <c r="T65" s="6">
        <v>-700</v>
      </c>
      <c r="U65" s="6">
        <f t="shared" si="2"/>
        <v>975</v>
      </c>
      <c r="V65" s="52"/>
      <c r="W65" s="57"/>
      <c r="X65" s="46"/>
      <c r="Y65" s="61"/>
      <c r="Z65" s="66">
        <f t="shared" si="3"/>
        <v>-1675</v>
      </c>
      <c r="AA65" s="61"/>
      <c r="AB65" s="67"/>
      <c r="AC65" s="61"/>
      <c r="AD65" s="66"/>
      <c r="AE65" s="61"/>
      <c r="AF65" s="52">
        <f t="shared" si="4"/>
        <v>-1675</v>
      </c>
      <c r="AG65" s="46">
        <f t="shared" si="5"/>
        <v>-700</v>
      </c>
      <c r="AH65" s="51">
        <f t="shared" si="6"/>
        <v>-2375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89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1925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7">
        <f t="shared" si="0"/>
        <v>0</v>
      </c>
      <c r="R67" s="191"/>
      <c r="S67" s="6">
        <f t="shared" si="1"/>
        <v>1925</v>
      </c>
      <c r="T67" s="6">
        <v>-1525</v>
      </c>
      <c r="U67" s="6">
        <f t="shared" si="2"/>
        <v>400</v>
      </c>
      <c r="V67" s="52"/>
      <c r="W67" s="57"/>
      <c r="X67" s="46"/>
      <c r="Y67" s="61"/>
      <c r="Z67" s="66">
        <f t="shared" si="3"/>
        <v>-1925</v>
      </c>
      <c r="AA67" s="61"/>
      <c r="AB67" s="67"/>
      <c r="AC67" s="61"/>
      <c r="AD67" s="66"/>
      <c r="AE67" s="61"/>
      <c r="AF67" s="52">
        <f t="shared" si="4"/>
        <v>-1925</v>
      </c>
      <c r="AG67" s="46">
        <f t="shared" si="5"/>
        <v>-1525</v>
      </c>
      <c r="AH67" s="51">
        <f t="shared" si="6"/>
        <v>-3450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7">
        <f t="shared" si="0"/>
        <v>0</v>
      </c>
      <c r="R68" s="191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33575</v>
      </c>
      <c r="D69" s="191">
        <f>2100+5575</f>
        <v>7675</v>
      </c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7">
        <f t="shared" si="0"/>
        <v>0</v>
      </c>
      <c r="R69" s="191">
        <f>750+1000+500+7000</f>
        <v>9250</v>
      </c>
      <c r="S69" s="6">
        <f t="shared" si="1"/>
        <v>32000</v>
      </c>
      <c r="T69" s="6">
        <v>-16950</v>
      </c>
      <c r="U69" s="6">
        <f t="shared" si="2"/>
        <v>15050</v>
      </c>
      <c r="V69" s="52"/>
      <c r="W69" s="57"/>
      <c r="X69" s="46"/>
      <c r="Y69" s="61"/>
      <c r="Z69" s="66">
        <f t="shared" si="3"/>
        <v>-32000</v>
      </c>
      <c r="AA69" s="61"/>
      <c r="AB69" s="64"/>
      <c r="AC69" s="61"/>
      <c r="AD69" s="66"/>
      <c r="AE69" s="61"/>
      <c r="AF69" s="52">
        <f t="shared" si="4"/>
        <v>-32000</v>
      </c>
      <c r="AG69" s="46">
        <f t="shared" si="5"/>
        <v>-16950</v>
      </c>
      <c r="AH69" s="51">
        <f t="shared" si="6"/>
        <v>-48950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14550</v>
      </c>
      <c r="D70" s="191">
        <v>6700</v>
      </c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7">
        <f t="shared" si="0"/>
        <v>0</v>
      </c>
      <c r="R70" s="191">
        <v>500</v>
      </c>
      <c r="S70" s="6">
        <f t="shared" si="1"/>
        <v>20750</v>
      </c>
      <c r="T70" s="6">
        <v>-9425</v>
      </c>
      <c r="U70" s="6">
        <f t="shared" si="2"/>
        <v>11325</v>
      </c>
      <c r="V70" s="52"/>
      <c r="W70" s="57"/>
      <c r="X70" s="46"/>
      <c r="Y70" s="61"/>
      <c r="Z70" s="66">
        <f t="shared" si="3"/>
        <v>-20750</v>
      </c>
      <c r="AA70" s="61"/>
      <c r="AB70" s="67"/>
      <c r="AC70" s="61"/>
      <c r="AD70" s="66"/>
      <c r="AE70" s="61"/>
      <c r="AF70" s="52">
        <f t="shared" si="4"/>
        <v>-20750</v>
      </c>
      <c r="AG70" s="46">
        <f t="shared" si="5"/>
        <v>-9425</v>
      </c>
      <c r="AH70" s="51">
        <f t="shared" si="6"/>
        <v>-30175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36900</v>
      </c>
      <c r="D71" s="191">
        <f>12500+8750</f>
        <v>21250</v>
      </c>
      <c r="E71" s="191"/>
      <c r="F71" s="191"/>
      <c r="G71" s="191">
        <v>2000</v>
      </c>
      <c r="H71" s="191"/>
      <c r="I71" s="191"/>
      <c r="J71" s="191"/>
      <c r="K71" s="191"/>
      <c r="L71" s="191"/>
      <c r="M71" s="191"/>
      <c r="N71" s="191"/>
      <c r="O71" s="191"/>
      <c r="P71" s="191"/>
      <c r="Q71" s="7">
        <f t="shared" si="0"/>
        <v>2000</v>
      </c>
      <c r="R71" s="191">
        <f>875+2000+2150+2500+9000</f>
        <v>16525</v>
      </c>
      <c r="S71" s="6">
        <f t="shared" si="1"/>
        <v>41625</v>
      </c>
      <c r="T71" s="6">
        <v>-27500</v>
      </c>
      <c r="U71" s="6">
        <f t="shared" si="2"/>
        <v>14125</v>
      </c>
      <c r="V71" s="52"/>
      <c r="W71" s="57"/>
      <c r="X71" s="46"/>
      <c r="Y71" s="61"/>
      <c r="Z71" s="66">
        <f t="shared" si="3"/>
        <v>-41625</v>
      </c>
      <c r="AA71" s="61"/>
      <c r="AB71" s="64"/>
      <c r="AC71" s="61"/>
      <c r="AD71" s="66"/>
      <c r="AE71" s="61"/>
      <c r="AF71" s="52">
        <f t="shared" si="4"/>
        <v>-41625</v>
      </c>
      <c r="AG71" s="46">
        <f t="shared" si="5"/>
        <v>-27500</v>
      </c>
      <c r="AH71" s="51">
        <f t="shared" si="6"/>
        <v>-69125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91">
        <f>SUM(C7:C72)</f>
        <v>435975</v>
      </c>
      <c r="D73" s="191">
        <f t="shared" ref="D73:V73" si="11">SUM(D7:D72)</f>
        <v>38625</v>
      </c>
      <c r="E73" s="191">
        <f t="shared" si="11"/>
        <v>0</v>
      </c>
      <c r="F73" s="191">
        <f t="shared" si="11"/>
        <v>0</v>
      </c>
      <c r="G73" s="191">
        <f t="shared" si="11"/>
        <v>2000</v>
      </c>
      <c r="H73" s="27">
        <f t="shared" si="11"/>
        <v>0</v>
      </c>
      <c r="I73" s="191">
        <f t="shared" si="11"/>
        <v>0</v>
      </c>
      <c r="J73" s="191">
        <f t="shared" si="11"/>
        <v>0</v>
      </c>
      <c r="K73" s="191">
        <f t="shared" si="11"/>
        <v>0</v>
      </c>
      <c r="L73" s="191">
        <f t="shared" si="11"/>
        <v>0</v>
      </c>
      <c r="M73" s="191">
        <f t="shared" si="11"/>
        <v>0</v>
      </c>
      <c r="N73" s="191">
        <f t="shared" si="11"/>
        <v>0</v>
      </c>
      <c r="O73" s="191">
        <f t="shared" si="11"/>
        <v>0</v>
      </c>
      <c r="P73" s="191">
        <f t="shared" si="11"/>
        <v>0</v>
      </c>
      <c r="Q73" s="191">
        <f t="shared" si="11"/>
        <v>2000</v>
      </c>
      <c r="R73" s="191">
        <f t="shared" si="11"/>
        <v>46625</v>
      </c>
      <c r="S73" s="191">
        <f t="shared" si="11"/>
        <v>427975</v>
      </c>
      <c r="T73" s="191">
        <f t="shared" si="11"/>
        <v>-286670</v>
      </c>
      <c r="U73" s="191">
        <f t="shared" si="11"/>
        <v>141305</v>
      </c>
      <c r="V73" s="191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-427975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-427975</v>
      </c>
      <c r="AG73" s="43">
        <f t="shared" si="12"/>
        <v>-286670</v>
      </c>
      <c r="AH73" s="43">
        <f t="shared" si="12"/>
        <v>-714645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2000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19040+34230+16185+52765+57455+19000+30150+15160+25540+49550+7100+5800+25240+9300+63245+35645+52970+12050+29320+48350+57825+19950+25275+21485+43950+18035+46345+29300+32450+2000</f>
        <v>904710</v>
      </c>
      <c r="S74" s="211"/>
      <c r="T74" s="212">
        <f>R74+R75</f>
        <v>2225090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38625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28525+29600+39100+3100+62165+29250+69870+73500+69085+35150+67115+10100+28325+96100+8100+72500+38200+65350+45650+14350+51700+38400+50810+17850+28350+44260+34675+52875+77700+38625</f>
        <v>1320380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46625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76510+33035+58040+13475+68820+6900+95950+62450+44990+60525+45725+16920+92525+40300+26350+54650+41350+37870+27175+44700+85615+22280+37650+23900+28150+33080+55640+56425+35365+46625</f>
        <v>1372990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6000+6000+6000+18000+5600+12250+7000+2800+12000+6000+11700+6000+12000+10800+2950+9800+6000+12000+6000+12000+6000+2700+6000+6000+6000+18000+6000+12000+12000+12000+6000+2000</f>
        <v>265600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f>6000+3000+6600+12000</f>
        <v>27600</v>
      </c>
      <c r="N77" s="40" t="s">
        <v>90</v>
      </c>
      <c r="O77" s="82">
        <v>0</v>
      </c>
      <c r="P77" s="40" t="s">
        <v>91</v>
      </c>
      <c r="Q77" s="40">
        <v>12500</v>
      </c>
      <c r="R77" s="197">
        <f>Q77+O77+M77+J77+F77</f>
        <v>305700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24025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f>37775-14175-4000-5000</f>
        <v>14600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1067290</v>
      </c>
      <c r="S80" s="197"/>
      <c r="T80" s="22"/>
      <c r="U80" s="22"/>
      <c r="V80" s="2"/>
      <c r="X80" s="63">
        <f>SUM(X77:X79)</f>
        <v>38625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88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>
        <v>3000</v>
      </c>
      <c r="R96" s="36">
        <v>6000</v>
      </c>
      <c r="S96" s="36">
        <v>10</v>
      </c>
      <c r="T96" s="36">
        <v>60525</v>
      </c>
      <c r="U96" s="36">
        <v>10</v>
      </c>
      <c r="V96" s="36">
        <v>49550</v>
      </c>
      <c r="W96" s="36">
        <v>35150</v>
      </c>
      <c r="X96" s="36">
        <f t="shared" si="13"/>
        <v>84700</v>
      </c>
      <c r="Z96" s="36"/>
      <c r="AA96" s="36"/>
    </row>
    <row r="97" spans="15:26">
      <c r="O97" s="36"/>
      <c r="P97" s="36"/>
      <c r="Q97" s="36"/>
      <c r="R97" s="36">
        <v>11700</v>
      </c>
      <c r="S97" s="36">
        <v>11</v>
      </c>
      <c r="T97" s="36">
        <v>45725</v>
      </c>
      <c r="U97" s="36">
        <v>11</v>
      </c>
      <c r="V97" s="36">
        <v>7100</v>
      </c>
      <c r="W97" s="36">
        <v>67115</v>
      </c>
      <c r="X97" s="36">
        <f t="shared" si="13"/>
        <v>74215</v>
      </c>
      <c r="Z97" s="36"/>
    </row>
    <row r="98" spans="15:26">
      <c r="O98" s="36"/>
      <c r="P98" s="36"/>
      <c r="Q98" s="36"/>
      <c r="R98" s="36">
        <v>6000</v>
      </c>
      <c r="S98" s="36">
        <v>12</v>
      </c>
      <c r="T98" s="36">
        <v>16920</v>
      </c>
      <c r="U98" s="36">
        <v>12</v>
      </c>
      <c r="V98" s="36">
        <v>5800</v>
      </c>
      <c r="W98" s="36">
        <v>10100</v>
      </c>
      <c r="X98" s="36">
        <f t="shared" si="13"/>
        <v>15900</v>
      </c>
      <c r="Z98" s="36"/>
    </row>
    <row r="99" spans="15:26">
      <c r="O99" s="36"/>
      <c r="P99" s="36"/>
      <c r="Q99" s="36"/>
      <c r="R99" s="36">
        <v>10800</v>
      </c>
      <c r="S99" s="36">
        <v>13</v>
      </c>
      <c r="T99" s="36">
        <v>40300</v>
      </c>
      <c r="U99" s="36">
        <v>13</v>
      </c>
      <c r="V99" s="36">
        <v>9300</v>
      </c>
      <c r="W99" s="36">
        <v>96100</v>
      </c>
      <c r="X99" s="36">
        <f t="shared" si="13"/>
        <v>105400</v>
      </c>
    </row>
    <row r="100" spans="15:26">
      <c r="O100" s="63">
        <v>12500</v>
      </c>
      <c r="P100" s="36"/>
      <c r="Q100" s="36"/>
      <c r="R100" s="36">
        <v>12000</v>
      </c>
      <c r="S100" s="36">
        <v>14</v>
      </c>
      <c r="T100" s="36">
        <v>92525</v>
      </c>
      <c r="U100" s="36">
        <v>14</v>
      </c>
      <c r="V100" s="36">
        <v>25240</v>
      </c>
      <c r="W100" s="36">
        <v>28325</v>
      </c>
      <c r="X100" s="36">
        <f t="shared" si="13"/>
        <v>53565</v>
      </c>
    </row>
    <row r="101" spans="15:26">
      <c r="O101" s="36"/>
      <c r="P101" s="36"/>
      <c r="Q101" s="36"/>
      <c r="R101" s="36">
        <v>6000</v>
      </c>
      <c r="S101" s="36">
        <v>15</v>
      </c>
      <c r="T101" s="36">
        <v>26350</v>
      </c>
      <c r="U101" s="36">
        <v>15</v>
      </c>
      <c r="V101" s="36">
        <v>63245</v>
      </c>
      <c r="W101" s="36">
        <v>8100</v>
      </c>
      <c r="X101" s="36">
        <f t="shared" si="13"/>
        <v>71345</v>
      </c>
    </row>
    <row r="102" spans="15:26">
      <c r="O102" s="36"/>
      <c r="P102" s="36"/>
      <c r="Q102" s="36"/>
      <c r="R102" s="36">
        <v>12000</v>
      </c>
      <c r="S102" s="36">
        <v>16</v>
      </c>
      <c r="T102" s="36">
        <v>54650</v>
      </c>
      <c r="U102" s="36">
        <v>16</v>
      </c>
      <c r="V102" s="36">
        <v>35645</v>
      </c>
      <c r="W102" s="36">
        <v>72500</v>
      </c>
      <c r="X102" s="36">
        <f t="shared" si="13"/>
        <v>108145</v>
      </c>
    </row>
    <row r="103" spans="15:26">
      <c r="O103" s="36"/>
      <c r="P103" s="36"/>
      <c r="Q103" s="36"/>
      <c r="R103" s="36">
        <v>6000</v>
      </c>
      <c r="S103" s="36">
        <v>17</v>
      </c>
      <c r="T103" s="36">
        <v>41350</v>
      </c>
      <c r="U103" s="36">
        <v>16</v>
      </c>
      <c r="V103" s="36">
        <v>52970</v>
      </c>
      <c r="W103" s="36">
        <v>38200</v>
      </c>
      <c r="X103" s="36">
        <f t="shared" si="13"/>
        <v>91170</v>
      </c>
    </row>
    <row r="104" spans="15:26">
      <c r="O104" s="36"/>
      <c r="P104" s="36"/>
      <c r="Q104" s="36"/>
      <c r="R104" s="36">
        <v>12000</v>
      </c>
      <c r="S104" s="36">
        <v>18</v>
      </c>
      <c r="T104" s="36">
        <v>37870</v>
      </c>
      <c r="U104" s="36">
        <v>18</v>
      </c>
      <c r="V104" s="36">
        <v>12050</v>
      </c>
      <c r="W104" s="36">
        <v>65350</v>
      </c>
      <c r="X104" s="36">
        <f t="shared" si="13"/>
        <v>77400</v>
      </c>
    </row>
    <row r="105" spans="15:26">
      <c r="O105" s="36"/>
      <c r="P105" s="36"/>
      <c r="Q105" s="36"/>
      <c r="R105" s="36">
        <v>6000</v>
      </c>
      <c r="S105" s="36">
        <v>19</v>
      </c>
      <c r="T105" s="36">
        <v>27175</v>
      </c>
      <c r="U105" s="36">
        <v>19</v>
      </c>
      <c r="V105" s="36">
        <v>29320</v>
      </c>
      <c r="W105" s="36">
        <v>45650</v>
      </c>
      <c r="X105" s="36">
        <f t="shared" si="13"/>
        <v>74970</v>
      </c>
      <c r="Z105" s="36"/>
    </row>
    <row r="106" spans="15:26">
      <c r="O106" s="36"/>
      <c r="P106" s="36"/>
      <c r="Q106" s="36"/>
      <c r="R106" s="36">
        <v>6000</v>
      </c>
      <c r="S106" s="36">
        <v>20</v>
      </c>
      <c r="T106" s="36">
        <v>44700</v>
      </c>
      <c r="U106" s="36">
        <v>20</v>
      </c>
      <c r="V106" s="36">
        <v>48350</v>
      </c>
      <c r="W106" s="36">
        <v>14350</v>
      </c>
      <c r="X106" s="36">
        <f t="shared" si="13"/>
        <v>62700</v>
      </c>
    </row>
    <row r="107" spans="15:26">
      <c r="O107" s="36"/>
      <c r="P107" s="36"/>
      <c r="Q107" s="36"/>
      <c r="R107" s="36">
        <v>12000</v>
      </c>
      <c r="S107" s="36">
        <v>21</v>
      </c>
      <c r="T107" s="36">
        <v>22280</v>
      </c>
      <c r="U107" s="36">
        <v>21</v>
      </c>
      <c r="V107" s="36">
        <v>57825</v>
      </c>
      <c r="W107" s="36">
        <v>51700</v>
      </c>
      <c r="X107" s="36">
        <f t="shared" si="13"/>
        <v>109525</v>
      </c>
    </row>
    <row r="108" spans="15:26">
      <c r="O108" s="36"/>
      <c r="P108" s="36"/>
      <c r="Q108" s="36">
        <v>6600</v>
      </c>
      <c r="R108" s="36">
        <v>6000</v>
      </c>
      <c r="S108" s="36">
        <v>22</v>
      </c>
      <c r="T108" s="36">
        <v>85615</v>
      </c>
      <c r="U108" s="36">
        <v>22</v>
      </c>
      <c r="V108" s="36">
        <v>19950</v>
      </c>
      <c r="W108" s="36">
        <v>38400</v>
      </c>
      <c r="X108" s="36">
        <f t="shared" si="13"/>
        <v>58350</v>
      </c>
    </row>
    <row r="109" spans="15:26">
      <c r="O109" s="36"/>
      <c r="P109" s="36"/>
      <c r="Q109" s="36">
        <v>6000</v>
      </c>
      <c r="R109" s="36">
        <v>6000</v>
      </c>
      <c r="S109" s="36">
        <v>23</v>
      </c>
      <c r="T109" s="36">
        <v>37650</v>
      </c>
      <c r="U109" s="36">
        <v>23</v>
      </c>
      <c r="V109" s="36">
        <v>25275</v>
      </c>
      <c r="W109" s="36">
        <v>50810</v>
      </c>
      <c r="X109" s="36">
        <f t="shared" si="13"/>
        <v>76085</v>
      </c>
    </row>
    <row r="110" spans="15:26">
      <c r="O110" s="36"/>
      <c r="P110" s="36"/>
      <c r="Q110" s="36"/>
      <c r="R110" s="36">
        <v>6000</v>
      </c>
      <c r="S110" s="36">
        <v>24</v>
      </c>
      <c r="T110" s="36">
        <v>23900</v>
      </c>
      <c r="U110" s="36">
        <v>24</v>
      </c>
      <c r="V110" s="36">
        <v>21485</v>
      </c>
      <c r="W110" s="36">
        <v>17850</v>
      </c>
      <c r="X110" s="36">
        <f t="shared" si="13"/>
        <v>39335</v>
      </c>
    </row>
    <row r="111" spans="15:26">
      <c r="O111" s="36"/>
      <c r="P111" s="36"/>
      <c r="Q111" s="36"/>
      <c r="R111" s="36">
        <v>6000</v>
      </c>
      <c r="S111" s="36">
        <v>25</v>
      </c>
      <c r="T111" s="36"/>
      <c r="U111" s="36">
        <v>25</v>
      </c>
      <c r="V111" s="36">
        <v>43950</v>
      </c>
      <c r="W111" s="36"/>
      <c r="X111" s="36">
        <f t="shared" si="13"/>
        <v>43950</v>
      </c>
    </row>
    <row r="112" spans="15:26">
      <c r="O112" s="36"/>
      <c r="P112" s="36"/>
      <c r="Q112" s="36"/>
      <c r="R112" s="36">
        <v>12000</v>
      </c>
      <c r="S112" s="36">
        <v>26</v>
      </c>
      <c r="T112" s="36">
        <v>28150</v>
      </c>
      <c r="U112" s="36">
        <v>26</v>
      </c>
      <c r="V112" s="36">
        <v>18035</v>
      </c>
      <c r="W112" s="36">
        <v>28350</v>
      </c>
      <c r="X112" s="36">
        <f t="shared" si="13"/>
        <v>46385</v>
      </c>
    </row>
    <row r="113" spans="15:27">
      <c r="O113" s="36"/>
      <c r="P113" s="36"/>
      <c r="Q113" s="36"/>
      <c r="R113" s="36">
        <v>6000</v>
      </c>
      <c r="S113" s="36">
        <v>27</v>
      </c>
      <c r="T113" s="36">
        <v>33080</v>
      </c>
      <c r="U113" s="36">
        <v>27</v>
      </c>
      <c r="V113" s="36">
        <v>46345</v>
      </c>
      <c r="W113" s="36">
        <v>44260</v>
      </c>
      <c r="X113" s="36">
        <f t="shared" si="13"/>
        <v>90605</v>
      </c>
    </row>
    <row r="114" spans="15:27">
      <c r="O114" s="36"/>
      <c r="P114" s="36"/>
      <c r="Q114" s="36"/>
      <c r="R114" s="36">
        <v>12000</v>
      </c>
      <c r="S114" s="36">
        <v>28</v>
      </c>
      <c r="T114" s="36">
        <v>55640</v>
      </c>
      <c r="U114" s="36">
        <v>28</v>
      </c>
      <c r="V114" s="36">
        <v>29300</v>
      </c>
      <c r="W114" s="36">
        <v>34675</v>
      </c>
      <c r="X114" s="36">
        <f t="shared" si="13"/>
        <v>63975</v>
      </c>
    </row>
    <row r="115" spans="15:27">
      <c r="O115" s="36"/>
      <c r="P115" s="36"/>
      <c r="Q115" s="36"/>
      <c r="R115" s="36">
        <v>6000</v>
      </c>
      <c r="S115" s="36">
        <v>29</v>
      </c>
      <c r="T115" s="36">
        <v>56425</v>
      </c>
      <c r="U115" s="36">
        <v>29</v>
      </c>
      <c r="V115" s="36">
        <v>32450</v>
      </c>
      <c r="W115" s="36">
        <v>52875</v>
      </c>
      <c r="X115" s="36">
        <f t="shared" si="13"/>
        <v>85325</v>
      </c>
    </row>
    <row r="116" spans="15:27">
      <c r="O116" s="36"/>
      <c r="P116" s="36"/>
      <c r="Q116" s="36"/>
      <c r="R116" s="36">
        <v>12000</v>
      </c>
      <c r="S116" s="36">
        <v>30</v>
      </c>
      <c r="T116" s="36">
        <v>35365</v>
      </c>
      <c r="U116" s="36">
        <v>30</v>
      </c>
      <c r="V116" s="36"/>
      <c r="W116" s="36">
        <v>77700</v>
      </c>
      <c r="X116" s="36">
        <f t="shared" si="13"/>
        <v>77700</v>
      </c>
    </row>
    <row r="117" spans="15:27">
      <c r="O117" s="36"/>
      <c r="P117" s="36"/>
      <c r="Q117" s="36"/>
      <c r="R117" s="36">
        <v>2000</v>
      </c>
      <c r="S117" s="36">
        <v>31</v>
      </c>
      <c r="T117" s="36">
        <v>46625</v>
      </c>
      <c r="U117" s="36">
        <v>31</v>
      </c>
      <c r="V117" s="36">
        <v>2000</v>
      </c>
      <c r="W117" s="36">
        <v>38625</v>
      </c>
      <c r="X117" s="36">
        <f t="shared" si="13"/>
        <v>40625</v>
      </c>
      <c r="Y117" s="36" t="s">
        <v>194</v>
      </c>
    </row>
    <row r="118" spans="15:27">
      <c r="O118" s="63">
        <f t="shared" ref="O118:R118" si="14">SUM(O87:O117)</f>
        <v>12500</v>
      </c>
      <c r="P118" s="63">
        <f t="shared" si="14"/>
        <v>0</v>
      </c>
      <c r="Q118" s="63">
        <f t="shared" si="14"/>
        <v>27600</v>
      </c>
      <c r="R118" s="63">
        <f t="shared" si="14"/>
        <v>265600</v>
      </c>
      <c r="S118" s="63"/>
      <c r="T118" s="63">
        <f>SUM(T87:T117)</f>
        <v>1372990</v>
      </c>
      <c r="U118" s="63"/>
      <c r="V118" s="63">
        <f>SUM(V87:V117)</f>
        <v>904710</v>
      </c>
      <c r="W118" s="63">
        <f>SUM(W87:W117)</f>
        <v>1320380</v>
      </c>
      <c r="X118" s="36">
        <f>SUM(V118:W118)</f>
        <v>2225090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W118"/>
  <sheetViews>
    <sheetView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R7" sqref="R7:R71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4.77734375" style="1" customWidth="1"/>
    <col min="8" max="8" width="3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4414062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5.44140625" style="1" customWidth="1"/>
    <col min="25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10.199999999999999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126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/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0.199999999999999" customHeight="1">
      <c r="A6" s="223"/>
      <c r="B6" s="225"/>
      <c r="C6" s="227"/>
      <c r="D6" s="21" t="s">
        <v>14</v>
      </c>
      <c r="E6" s="37" t="s">
        <v>130</v>
      </c>
      <c r="F6" s="37" t="s">
        <v>125</v>
      </c>
      <c r="G6" s="31" t="s">
        <v>18</v>
      </c>
      <c r="H6" s="31" t="s">
        <v>109</v>
      </c>
      <c r="I6" s="37" t="s">
        <v>127</v>
      </c>
      <c r="J6" s="37" t="s">
        <v>129</v>
      </c>
      <c r="K6" s="31" t="s">
        <v>123</v>
      </c>
      <c r="L6" s="37" t="s">
        <v>132</v>
      </c>
      <c r="M6" s="37" t="s">
        <v>110</v>
      </c>
      <c r="N6" s="37" t="s">
        <v>111</v>
      </c>
      <c r="O6" s="37" t="s">
        <v>133</v>
      </c>
      <c r="P6" s="30" t="s">
        <v>131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/>
      <c r="D7" s="6" t="e">
        <f>#REF!+#REF!+#REF!+#REF!+#REF!+#REF!+#REF!+#REF!+#REF!+#REF!+#REF!+#REF!+#REF!+#REF!+#REF!+#REF!+#REF!+#REF!+#REF!+#REF!+#REF!+#REF!+#REF!+#REF!+#REF!+#REF!+#REF!+#REF!+#REF!+'01.10.19'!D7</f>
        <v>#REF!</v>
      </c>
      <c r="E7" s="6" t="e">
        <f>#REF!+#REF!+#REF!+#REF!+#REF!+#REF!+#REF!+#REF!+#REF!+#REF!+#REF!+#REF!+#REF!+#REF!+#REF!+#REF!+#REF!+#REF!+#REF!+#REF!+#REF!+#REF!+#REF!+#REF!+#REF!+#REF!+#REF!+#REF!+#REF!+'01.10.19'!E7</f>
        <v>#REF!</v>
      </c>
      <c r="F7" s="6" t="e">
        <f>#REF!+#REF!+#REF!+#REF!+#REF!+#REF!+#REF!+#REF!+#REF!+#REF!+#REF!+#REF!+#REF!+#REF!+#REF!+#REF!+#REF!+#REF!+#REF!+#REF!+#REF!+#REF!+#REF!+#REF!+#REF!+#REF!+#REF!+#REF!+#REF!+'01.10.19'!F7</f>
        <v>#REF!</v>
      </c>
      <c r="G7" s="6" t="e">
        <f>#REF!+#REF!+#REF!+#REF!+#REF!+#REF!+#REF!+#REF!+#REF!+#REF!+#REF!+#REF!+#REF!+#REF!+#REF!+#REF!+#REF!+#REF!+#REF!+#REF!+#REF!+#REF!+#REF!+#REF!+#REF!+#REF!+#REF!+#REF!+#REF!+'01.10.19'!G7</f>
        <v>#REF!</v>
      </c>
      <c r="H7" s="6" t="e">
        <f>#REF!+#REF!+#REF!+#REF!+#REF!+#REF!+#REF!+#REF!+#REF!+#REF!+#REF!+#REF!+#REF!+#REF!+#REF!+#REF!+#REF!+#REF!+#REF!+#REF!+#REF!+#REF!+#REF!+#REF!+#REF!+#REF!+#REF!+#REF!+#REF!+'01.10.19'!H7</f>
        <v>#REF!</v>
      </c>
      <c r="I7" s="6" t="e">
        <f>#REF!+#REF!+#REF!+#REF!+#REF!+#REF!+#REF!+#REF!+#REF!+#REF!+#REF!+#REF!+#REF!+#REF!+#REF!+#REF!+#REF!+#REF!+#REF!+#REF!+#REF!+#REF!+#REF!+#REF!+#REF!+#REF!+#REF!+#REF!+#REF!+'01.10.19'!I7</f>
        <v>#REF!</v>
      </c>
      <c r="J7" s="6" t="e">
        <f>#REF!+#REF!+#REF!+#REF!+#REF!+#REF!+#REF!+#REF!+#REF!+#REF!+#REF!+#REF!+#REF!+#REF!+#REF!+#REF!+#REF!+#REF!+#REF!+#REF!+#REF!+#REF!+#REF!+#REF!+#REF!+#REF!+#REF!+#REF!+#REF!+'01.10.19'!J7</f>
        <v>#REF!</v>
      </c>
      <c r="K7" s="6" t="e">
        <f>#REF!+#REF!+#REF!+#REF!+#REF!+#REF!+#REF!+#REF!+#REF!+#REF!+#REF!+#REF!+#REF!+#REF!+#REF!+#REF!+#REF!+#REF!+#REF!+#REF!+#REF!+#REF!+#REF!+#REF!+#REF!+#REF!+#REF!+#REF!+#REF!+'01.10.19'!K7</f>
        <v>#REF!</v>
      </c>
      <c r="L7" s="6" t="e">
        <f>#REF!+#REF!+#REF!+#REF!+#REF!+#REF!+#REF!+#REF!+#REF!+#REF!+#REF!+#REF!+#REF!+#REF!+#REF!+#REF!+#REF!+#REF!+#REF!+#REF!+#REF!+#REF!+#REF!+#REF!+#REF!+#REF!+#REF!+#REF!+#REF!+'01.10.19'!L7</f>
        <v>#REF!</v>
      </c>
      <c r="M7" s="6" t="e">
        <f>#REF!+#REF!+#REF!+#REF!+#REF!+#REF!+#REF!+#REF!+#REF!+#REF!+#REF!+#REF!+#REF!+#REF!+#REF!+#REF!+#REF!+#REF!+#REF!+#REF!+#REF!+#REF!+#REF!+#REF!+#REF!+#REF!+#REF!+#REF!+#REF!+'01.10.19'!M7</f>
        <v>#REF!</v>
      </c>
      <c r="N7" s="6" t="e">
        <f>#REF!+#REF!+#REF!+#REF!+#REF!+#REF!+#REF!+#REF!+#REF!+#REF!+#REF!+#REF!+#REF!+#REF!+#REF!+#REF!+#REF!+#REF!+#REF!+#REF!+#REF!+#REF!+#REF!+#REF!+#REF!+#REF!+#REF!+#REF!+#REF!+'01.10.19'!N7</f>
        <v>#REF!</v>
      </c>
      <c r="O7" s="6" t="e">
        <f>#REF!+#REF!+#REF!+#REF!+#REF!+#REF!+#REF!+#REF!+#REF!+#REF!+#REF!+#REF!+#REF!+#REF!+#REF!+#REF!+#REF!+#REF!+#REF!+#REF!+#REF!+#REF!+#REF!+#REF!+#REF!+#REF!+#REF!+#REF!+#REF!+'01.10.19'!O7</f>
        <v>#REF!</v>
      </c>
      <c r="P7" s="6" t="e">
        <f>#REF!+#REF!+#REF!+#REF!+#REF!+#REF!+#REF!+#REF!+#REF!+#REF!+#REF!+#REF!+#REF!+#REF!+#REF!+#REF!+#REF!+#REF!+#REF!+#REF!+#REF!+#REF!+#REF!+#REF!+#REF!+#REF!+#REF!+#REF!+#REF!+'01.10.19'!P7</f>
        <v>#REF!</v>
      </c>
      <c r="Q7" s="7" t="e">
        <f t="shared" ref="Q7:Q71" si="0">SUM(E7:P7)</f>
        <v>#REF!</v>
      </c>
      <c r="R7" s="6" t="e">
        <f>#REF!+#REF!+#REF!+#REF!+#REF!+#REF!+#REF!+#REF!+#REF!+#REF!+#REF!+#REF!+#REF!+#REF!+#REF!+#REF!+#REF!+#REF!+#REF!+#REF!+#REF!+#REF!+#REF!+#REF!+#REF!+#REF!+#REF!+#REF!+#REF!+'01.10.19'!R7</f>
        <v>#REF!</v>
      </c>
      <c r="S7" s="6" t="e">
        <f>C7+D7-R7</f>
        <v>#REF!</v>
      </c>
      <c r="T7" s="34">
        <f>-8750-100+100+150-3200+850</f>
        <v>-10950</v>
      </c>
      <c r="U7" s="6" t="e">
        <f>S7+T7</f>
        <v>#REF!</v>
      </c>
      <c r="V7" s="7"/>
      <c r="W7" s="57"/>
      <c r="X7" s="46"/>
      <c r="Y7" s="65"/>
      <c r="Z7" s="47"/>
      <c r="AA7" s="65"/>
      <c r="AB7" s="67"/>
      <c r="AC7" s="65"/>
      <c r="AD7" s="47"/>
      <c r="AE7" s="61"/>
      <c r="AF7" s="52">
        <f>SUM(Y7:AE7)</f>
        <v>0</v>
      </c>
      <c r="AG7" s="46" t="e">
        <f>U7+AF7</f>
        <v>#REF!</v>
      </c>
      <c r="AH7" s="51" t="e">
        <f>AG7-S7</f>
        <v>#REF!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/>
      <c r="D8" s="6" t="e">
        <f>#REF!+#REF!+#REF!+#REF!+#REF!+#REF!+#REF!+#REF!+#REF!+#REF!+#REF!+#REF!+#REF!+#REF!+#REF!+#REF!+#REF!+#REF!+#REF!+#REF!+#REF!+#REF!+#REF!+#REF!+#REF!+#REF!+#REF!+#REF!+#REF!+'01.10.19'!D8</f>
        <v>#REF!</v>
      </c>
      <c r="E8" s="6" t="e">
        <f>#REF!+#REF!+#REF!+#REF!+#REF!+#REF!+#REF!+#REF!+#REF!+#REF!+#REF!+#REF!+#REF!+#REF!+#REF!+#REF!+#REF!+#REF!+#REF!+#REF!+#REF!+#REF!+#REF!+#REF!+#REF!+#REF!+#REF!+#REF!+#REF!+'01.10.19'!E8</f>
        <v>#REF!</v>
      </c>
      <c r="F8" s="6" t="e">
        <f>#REF!+#REF!+#REF!+#REF!+#REF!+#REF!+#REF!+#REF!+#REF!+#REF!+#REF!+#REF!+#REF!+#REF!+#REF!+#REF!+#REF!+#REF!+#REF!+#REF!+#REF!+#REF!+#REF!+#REF!+#REF!+#REF!+#REF!+#REF!+#REF!+'01.10.19'!F8</f>
        <v>#REF!</v>
      </c>
      <c r="G8" s="6" t="e">
        <f>#REF!+#REF!+#REF!+#REF!+#REF!+#REF!+#REF!+#REF!+#REF!+#REF!+#REF!+#REF!+#REF!+#REF!+#REF!+#REF!+#REF!+#REF!+#REF!+#REF!+#REF!+#REF!+#REF!+#REF!+#REF!+#REF!+#REF!+#REF!+#REF!+'01.10.19'!G8</f>
        <v>#REF!</v>
      </c>
      <c r="H8" s="6" t="e">
        <f>#REF!+#REF!+#REF!+#REF!+#REF!+#REF!+#REF!+#REF!+#REF!+#REF!+#REF!+#REF!+#REF!+#REF!+#REF!+#REF!+#REF!+#REF!+#REF!+#REF!+#REF!+#REF!+#REF!+#REF!+#REF!+#REF!+#REF!+#REF!+#REF!+'01.10.19'!H8</f>
        <v>#REF!</v>
      </c>
      <c r="I8" s="6" t="e">
        <f>#REF!+#REF!+#REF!+#REF!+#REF!+#REF!+#REF!+#REF!+#REF!+#REF!+#REF!+#REF!+#REF!+#REF!+#REF!+#REF!+#REF!+#REF!+#REF!+#REF!+#REF!+#REF!+#REF!+#REF!+#REF!+#REF!+#REF!+#REF!+#REF!+'01.10.19'!I8</f>
        <v>#REF!</v>
      </c>
      <c r="J8" s="6" t="e">
        <f>#REF!+#REF!+#REF!+#REF!+#REF!+#REF!+#REF!+#REF!+#REF!+#REF!+#REF!+#REF!+#REF!+#REF!+#REF!+#REF!+#REF!+#REF!+#REF!+#REF!+#REF!+#REF!+#REF!+#REF!+#REF!+#REF!+#REF!+#REF!+#REF!+'01.10.19'!J8</f>
        <v>#REF!</v>
      </c>
      <c r="K8" s="6" t="e">
        <f>#REF!+#REF!+#REF!+#REF!+#REF!+#REF!+#REF!+#REF!+#REF!+#REF!+#REF!+#REF!+#REF!+#REF!+#REF!+#REF!+#REF!+#REF!+#REF!+#REF!+#REF!+#REF!+#REF!+#REF!+#REF!+#REF!+#REF!+#REF!+#REF!+'01.10.19'!K8</f>
        <v>#REF!</v>
      </c>
      <c r="L8" s="6" t="e">
        <f>#REF!+#REF!+#REF!+#REF!+#REF!+#REF!+#REF!+#REF!+#REF!+#REF!+#REF!+#REF!+#REF!+#REF!+#REF!+#REF!+#REF!+#REF!+#REF!+#REF!+#REF!+#REF!+#REF!+#REF!+#REF!+#REF!+#REF!+#REF!+#REF!+'01.10.19'!L8</f>
        <v>#REF!</v>
      </c>
      <c r="M8" s="6" t="e">
        <f>#REF!+#REF!+#REF!+#REF!+#REF!+#REF!+#REF!+#REF!+#REF!+#REF!+#REF!+#REF!+#REF!+#REF!+#REF!+#REF!+#REF!+#REF!+#REF!+#REF!+#REF!+#REF!+#REF!+#REF!+#REF!+#REF!+#REF!+#REF!+#REF!+'01.10.19'!M8</f>
        <v>#REF!</v>
      </c>
      <c r="N8" s="6" t="e">
        <f>#REF!+#REF!+#REF!+#REF!+#REF!+#REF!+#REF!+#REF!+#REF!+#REF!+#REF!+#REF!+#REF!+#REF!+#REF!+#REF!+#REF!+#REF!+#REF!+#REF!+#REF!+#REF!+#REF!+#REF!+#REF!+#REF!+#REF!+#REF!+#REF!+'01.10.19'!N8</f>
        <v>#REF!</v>
      </c>
      <c r="O8" s="6" t="e">
        <f>#REF!+#REF!+#REF!+#REF!+#REF!+#REF!+#REF!+#REF!+#REF!+#REF!+#REF!+#REF!+#REF!+#REF!+#REF!+#REF!+#REF!+#REF!+#REF!+#REF!+#REF!+#REF!+#REF!+#REF!+#REF!+#REF!+#REF!+#REF!+#REF!+'01.10.19'!O8</f>
        <v>#REF!</v>
      </c>
      <c r="P8" s="6" t="e">
        <f>#REF!+#REF!+#REF!+#REF!+#REF!+#REF!+#REF!+#REF!+#REF!+#REF!+#REF!+#REF!+#REF!+#REF!+#REF!+#REF!+#REF!+#REF!+#REF!+#REF!+#REF!+#REF!+#REF!+#REF!+#REF!+#REF!+#REF!+#REF!+#REF!+'01.10.19'!P8</f>
        <v>#REF!</v>
      </c>
      <c r="Q8" s="7" t="e">
        <f t="shared" si="0"/>
        <v>#REF!</v>
      </c>
      <c r="R8" s="6" t="e">
        <f>#REF!+#REF!+#REF!+#REF!+#REF!+#REF!+#REF!+#REF!+#REF!+#REF!+#REF!+#REF!+#REF!+#REF!+#REF!+#REF!+#REF!+#REF!+#REF!+#REF!+#REF!+#REF!+#REF!+#REF!+#REF!+#REF!+#REF!+#REF!+#REF!+'01.10.19'!R8</f>
        <v>#REF!</v>
      </c>
      <c r="S8" s="6" t="e">
        <f t="shared" ref="S8:S71" si="1">C8+D8-R8</f>
        <v>#REF!</v>
      </c>
      <c r="T8" s="6">
        <f>-26650-350+300-350</f>
        <v>-27050</v>
      </c>
      <c r="U8" s="6" t="e">
        <f t="shared" ref="U8:U71" si="2">S8+T8</f>
        <v>#REF!</v>
      </c>
      <c r="V8" s="7"/>
      <c r="W8" s="57"/>
      <c r="X8" s="46"/>
      <c r="Y8" s="61"/>
      <c r="Z8" s="47"/>
      <c r="AA8" s="61"/>
      <c r="AB8" s="67"/>
      <c r="AC8" s="61"/>
      <c r="AD8" s="66"/>
      <c r="AE8" s="61"/>
      <c r="AF8" s="52">
        <f t="shared" ref="AF8:AF71" si="3">SUM(Y8:AE8)</f>
        <v>0</v>
      </c>
      <c r="AG8" s="46" t="e">
        <f t="shared" ref="AG8:AG71" si="4">U8+AF8</f>
        <v>#REF!</v>
      </c>
      <c r="AH8" s="51" t="e">
        <f t="shared" ref="AH8:AH71" si="5">AG8-S8</f>
        <v>#REF!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/>
      <c r="D9" s="6" t="e">
        <f>#REF!+#REF!+#REF!+#REF!+#REF!+#REF!+#REF!+#REF!+#REF!+#REF!+#REF!+#REF!+#REF!+#REF!+#REF!+#REF!+#REF!+#REF!+#REF!+#REF!+#REF!+#REF!+#REF!+#REF!+#REF!+#REF!+#REF!+#REF!+#REF!+'01.10.19'!D9</f>
        <v>#REF!</v>
      </c>
      <c r="E9" s="6" t="e">
        <f>#REF!+#REF!+#REF!+#REF!+#REF!+#REF!+#REF!+#REF!+#REF!+#REF!+#REF!+#REF!+#REF!+#REF!+#REF!+#REF!+#REF!+#REF!+#REF!+#REF!+#REF!+#REF!+#REF!+#REF!+#REF!+#REF!+#REF!+#REF!+#REF!+'01.10.19'!E9</f>
        <v>#REF!</v>
      </c>
      <c r="F9" s="6" t="e">
        <f>#REF!+#REF!+#REF!+#REF!+#REF!+#REF!+#REF!+#REF!+#REF!+#REF!+#REF!+#REF!+#REF!+#REF!+#REF!+#REF!+#REF!+#REF!+#REF!+#REF!+#REF!+#REF!+#REF!+#REF!+#REF!+#REF!+#REF!+#REF!+#REF!+'01.10.19'!F9</f>
        <v>#REF!</v>
      </c>
      <c r="G9" s="6" t="e">
        <f>#REF!+#REF!+#REF!+#REF!+#REF!+#REF!+#REF!+#REF!+#REF!+#REF!+#REF!+#REF!+#REF!+#REF!+#REF!+#REF!+#REF!+#REF!+#REF!+#REF!+#REF!+#REF!+#REF!+#REF!+#REF!+#REF!+#REF!+#REF!+#REF!+'01.10.19'!G9</f>
        <v>#REF!</v>
      </c>
      <c r="H9" s="6" t="e">
        <f>#REF!+#REF!+#REF!+#REF!+#REF!+#REF!+#REF!+#REF!+#REF!+#REF!+#REF!+#REF!+#REF!+#REF!+#REF!+#REF!+#REF!+#REF!+#REF!+#REF!+#REF!+#REF!+#REF!+#REF!+#REF!+#REF!+#REF!+#REF!+#REF!+'01.10.19'!H9</f>
        <v>#REF!</v>
      </c>
      <c r="I9" s="6" t="e">
        <f>#REF!+#REF!+#REF!+#REF!+#REF!+#REF!+#REF!+#REF!+#REF!+#REF!+#REF!+#REF!+#REF!+#REF!+#REF!+#REF!+#REF!+#REF!+#REF!+#REF!+#REF!+#REF!+#REF!+#REF!+#REF!+#REF!+#REF!+#REF!+#REF!+'01.10.19'!I9</f>
        <v>#REF!</v>
      </c>
      <c r="J9" s="6" t="e">
        <f>#REF!+#REF!+#REF!+#REF!+#REF!+#REF!+#REF!+#REF!+#REF!+#REF!+#REF!+#REF!+#REF!+#REF!+#REF!+#REF!+#REF!+#REF!+#REF!+#REF!+#REF!+#REF!+#REF!+#REF!+#REF!+#REF!+#REF!+#REF!+#REF!+'01.10.19'!J9</f>
        <v>#REF!</v>
      </c>
      <c r="K9" s="6" t="e">
        <f>#REF!+#REF!+#REF!+#REF!+#REF!+#REF!+#REF!+#REF!+#REF!+#REF!+#REF!+#REF!+#REF!+#REF!+#REF!+#REF!+#REF!+#REF!+#REF!+#REF!+#REF!+#REF!+#REF!+#REF!+#REF!+#REF!+#REF!+#REF!+#REF!+'01.10.19'!K9</f>
        <v>#REF!</v>
      </c>
      <c r="L9" s="6" t="e">
        <f>#REF!+#REF!+#REF!+#REF!+#REF!+#REF!+#REF!+#REF!+#REF!+#REF!+#REF!+#REF!+#REF!+#REF!+#REF!+#REF!+#REF!+#REF!+#REF!+#REF!+#REF!+#REF!+#REF!+#REF!+#REF!+#REF!+#REF!+#REF!+#REF!+'01.10.19'!L9</f>
        <v>#REF!</v>
      </c>
      <c r="M9" s="6" t="e">
        <f>#REF!+#REF!+#REF!+#REF!+#REF!+#REF!+#REF!+#REF!+#REF!+#REF!+#REF!+#REF!+#REF!+#REF!+#REF!+#REF!+#REF!+#REF!+#REF!+#REF!+#REF!+#REF!+#REF!+#REF!+#REF!+#REF!+#REF!+#REF!+#REF!+'01.10.19'!M9</f>
        <v>#REF!</v>
      </c>
      <c r="N9" s="6" t="e">
        <f>#REF!+#REF!+#REF!+#REF!+#REF!+#REF!+#REF!+#REF!+#REF!+#REF!+#REF!+#REF!+#REF!+#REF!+#REF!+#REF!+#REF!+#REF!+#REF!+#REF!+#REF!+#REF!+#REF!+#REF!+#REF!+#REF!+#REF!+#REF!+#REF!+'01.10.19'!N9</f>
        <v>#REF!</v>
      </c>
      <c r="O9" s="6" t="e">
        <f>#REF!+#REF!+#REF!+#REF!+#REF!+#REF!+#REF!+#REF!+#REF!+#REF!+#REF!+#REF!+#REF!+#REF!+#REF!+#REF!+#REF!+#REF!+#REF!+#REF!+#REF!+#REF!+#REF!+#REF!+#REF!+#REF!+#REF!+#REF!+#REF!+'01.10.19'!O9</f>
        <v>#REF!</v>
      </c>
      <c r="P9" s="6" t="e">
        <f>#REF!+#REF!+#REF!+#REF!+#REF!+#REF!+#REF!+#REF!+#REF!+#REF!+#REF!+#REF!+#REF!+#REF!+#REF!+#REF!+#REF!+#REF!+#REF!+#REF!+#REF!+#REF!+#REF!+#REF!+#REF!+#REF!+#REF!+#REF!+#REF!+'01.10.19'!P9</f>
        <v>#REF!</v>
      </c>
      <c r="Q9" s="7" t="e">
        <f t="shared" si="0"/>
        <v>#REF!</v>
      </c>
      <c r="R9" s="6" t="e">
        <f>#REF!+#REF!+#REF!+#REF!+#REF!+#REF!+#REF!+#REF!+#REF!+#REF!+#REF!+#REF!+#REF!+#REF!+#REF!+#REF!+#REF!+#REF!+#REF!+#REF!+#REF!+#REF!+#REF!+#REF!+#REF!+#REF!+#REF!+#REF!+#REF!+'01.10.19'!R9</f>
        <v>#REF!</v>
      </c>
      <c r="S9" s="6" t="e">
        <f t="shared" si="1"/>
        <v>#REF!</v>
      </c>
      <c r="T9" s="6">
        <f>-5150+250</f>
        <v>-4900</v>
      </c>
      <c r="U9" s="6" t="e">
        <f t="shared" si="2"/>
        <v>#REF!</v>
      </c>
      <c r="V9" s="7"/>
      <c r="W9" s="57"/>
      <c r="X9" s="46"/>
      <c r="Y9" s="61"/>
      <c r="Z9" s="66"/>
      <c r="AA9" s="61"/>
      <c r="AB9" s="67"/>
      <c r="AC9" s="61"/>
      <c r="AD9" s="66"/>
      <c r="AE9" s="61"/>
      <c r="AF9" s="52">
        <f t="shared" si="3"/>
        <v>0</v>
      </c>
      <c r="AG9" s="46" t="e">
        <f t="shared" si="4"/>
        <v>#REF!</v>
      </c>
      <c r="AH9" s="51" t="e">
        <f t="shared" si="5"/>
        <v>#REF!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/>
      <c r="D10" s="6" t="e">
        <f>#REF!+#REF!+#REF!+#REF!+#REF!+#REF!+#REF!+#REF!+#REF!+#REF!+#REF!+#REF!+#REF!+#REF!+#REF!+#REF!+#REF!+#REF!+#REF!+#REF!+#REF!+#REF!+#REF!+#REF!+#REF!+#REF!+#REF!+#REF!+#REF!+'01.10.19'!D10</f>
        <v>#REF!</v>
      </c>
      <c r="E10" s="6" t="e">
        <f>#REF!+#REF!+#REF!+#REF!+#REF!+#REF!+#REF!+#REF!+#REF!+#REF!+#REF!+#REF!+#REF!+#REF!+#REF!+#REF!+#REF!+#REF!+#REF!+#REF!+#REF!+#REF!+#REF!+#REF!+#REF!+#REF!+#REF!+#REF!+#REF!+'01.10.19'!E10</f>
        <v>#REF!</v>
      </c>
      <c r="F10" s="6" t="e">
        <f>#REF!+#REF!+#REF!+#REF!+#REF!+#REF!+#REF!+#REF!+#REF!+#REF!+#REF!+#REF!+#REF!+#REF!+#REF!+#REF!+#REF!+#REF!+#REF!+#REF!+#REF!+#REF!+#REF!+#REF!+#REF!+#REF!+#REF!+#REF!+#REF!+'01.10.19'!F10</f>
        <v>#REF!</v>
      </c>
      <c r="G10" s="6" t="e">
        <f>#REF!+#REF!+#REF!+#REF!+#REF!+#REF!+#REF!+#REF!+#REF!+#REF!+#REF!+#REF!+#REF!+#REF!+#REF!+#REF!+#REF!+#REF!+#REF!+#REF!+#REF!+#REF!+#REF!+#REF!+#REF!+#REF!+#REF!+#REF!+#REF!+'01.10.19'!G10</f>
        <v>#REF!</v>
      </c>
      <c r="H10" s="6" t="e">
        <f>#REF!+#REF!+#REF!+#REF!+#REF!+#REF!+#REF!+#REF!+#REF!+#REF!+#REF!+#REF!+#REF!+#REF!+#REF!+#REF!+#REF!+#REF!+#REF!+#REF!+#REF!+#REF!+#REF!+#REF!+#REF!+#REF!+#REF!+#REF!+#REF!+'01.10.19'!H10</f>
        <v>#REF!</v>
      </c>
      <c r="I10" s="6" t="e">
        <f>#REF!+#REF!+#REF!+#REF!+#REF!+#REF!+#REF!+#REF!+#REF!+#REF!+#REF!+#REF!+#REF!+#REF!+#REF!+#REF!+#REF!+#REF!+#REF!+#REF!+#REF!+#REF!+#REF!+#REF!+#REF!+#REF!+#REF!+#REF!+#REF!+'01.10.19'!I10</f>
        <v>#REF!</v>
      </c>
      <c r="J10" s="6" t="e">
        <f>#REF!+#REF!+#REF!+#REF!+#REF!+#REF!+#REF!+#REF!+#REF!+#REF!+#REF!+#REF!+#REF!+#REF!+#REF!+#REF!+#REF!+#REF!+#REF!+#REF!+#REF!+#REF!+#REF!+#REF!+#REF!+#REF!+#REF!+#REF!+#REF!+'01.10.19'!J10</f>
        <v>#REF!</v>
      </c>
      <c r="K10" s="6" t="e">
        <f>#REF!+#REF!+#REF!+#REF!+#REF!+#REF!+#REF!+#REF!+#REF!+#REF!+#REF!+#REF!+#REF!+#REF!+#REF!+#REF!+#REF!+#REF!+#REF!+#REF!+#REF!+#REF!+#REF!+#REF!+#REF!+#REF!+#REF!+#REF!+#REF!+'01.10.19'!K10</f>
        <v>#REF!</v>
      </c>
      <c r="L10" s="6" t="e">
        <f>#REF!+#REF!+#REF!+#REF!+#REF!+#REF!+#REF!+#REF!+#REF!+#REF!+#REF!+#REF!+#REF!+#REF!+#REF!+#REF!+#REF!+#REF!+#REF!+#REF!+#REF!+#REF!+#REF!+#REF!+#REF!+#REF!+#REF!+#REF!+#REF!+'01.10.19'!L10</f>
        <v>#REF!</v>
      </c>
      <c r="M10" s="6" t="e">
        <f>#REF!+#REF!+#REF!+#REF!+#REF!+#REF!+#REF!+#REF!+#REF!+#REF!+#REF!+#REF!+#REF!+#REF!+#REF!+#REF!+#REF!+#REF!+#REF!+#REF!+#REF!+#REF!+#REF!+#REF!+#REF!+#REF!+#REF!+#REF!+#REF!+'01.10.19'!M10</f>
        <v>#REF!</v>
      </c>
      <c r="N10" s="6" t="e">
        <f>#REF!+#REF!+#REF!+#REF!+#REF!+#REF!+#REF!+#REF!+#REF!+#REF!+#REF!+#REF!+#REF!+#REF!+#REF!+#REF!+#REF!+#REF!+#REF!+#REF!+#REF!+#REF!+#REF!+#REF!+#REF!+#REF!+#REF!+#REF!+#REF!+'01.10.19'!N10</f>
        <v>#REF!</v>
      </c>
      <c r="O10" s="6" t="e">
        <f>#REF!+#REF!+#REF!+#REF!+#REF!+#REF!+#REF!+#REF!+#REF!+#REF!+#REF!+#REF!+#REF!+#REF!+#REF!+#REF!+#REF!+#REF!+#REF!+#REF!+#REF!+#REF!+#REF!+#REF!+#REF!+#REF!+#REF!+#REF!+#REF!+'01.10.19'!O10</f>
        <v>#REF!</v>
      </c>
      <c r="P10" s="6" t="e">
        <f>#REF!+#REF!+#REF!+#REF!+#REF!+#REF!+#REF!+#REF!+#REF!+#REF!+#REF!+#REF!+#REF!+#REF!+#REF!+#REF!+#REF!+#REF!+#REF!+#REF!+#REF!+#REF!+#REF!+#REF!+#REF!+#REF!+#REF!+#REF!+#REF!+'01.10.19'!P10</f>
        <v>#REF!</v>
      </c>
      <c r="Q10" s="7" t="e">
        <f t="shared" si="0"/>
        <v>#REF!</v>
      </c>
      <c r="R10" s="6" t="e">
        <f>#REF!+#REF!+#REF!+#REF!+#REF!+#REF!+#REF!+#REF!+#REF!+#REF!+#REF!+#REF!+#REF!+#REF!+#REF!+#REF!+#REF!+#REF!+#REF!+#REF!+#REF!+#REF!+#REF!+#REF!+#REF!+#REF!+#REF!+#REF!+#REF!+'01.10.19'!R10</f>
        <v>#REF!</v>
      </c>
      <c r="S10" s="6" t="e">
        <f t="shared" si="1"/>
        <v>#REF!</v>
      </c>
      <c r="T10" s="6">
        <v>-4450</v>
      </c>
      <c r="U10" s="6" t="e">
        <f t="shared" si="2"/>
        <v>#REF!</v>
      </c>
      <c r="V10" s="7">
        <v>200</v>
      </c>
      <c r="W10" s="57"/>
      <c r="X10" s="46"/>
      <c r="Y10" s="61"/>
      <c r="Z10" s="66"/>
      <c r="AA10" s="61"/>
      <c r="AB10" s="67"/>
      <c r="AC10" s="61"/>
      <c r="AD10" s="66"/>
      <c r="AE10" s="61"/>
      <c r="AF10" s="52">
        <f t="shared" si="3"/>
        <v>0</v>
      </c>
      <c r="AG10" s="46" t="e">
        <f t="shared" si="4"/>
        <v>#REF!</v>
      </c>
      <c r="AH10" s="51" t="e">
        <f t="shared" si="5"/>
        <v>#REF!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/>
      <c r="D11" s="6" t="e">
        <f>#REF!+#REF!+#REF!+#REF!+#REF!+#REF!+#REF!+#REF!+#REF!+#REF!+#REF!+#REF!+#REF!+#REF!+#REF!+#REF!+#REF!+#REF!+#REF!+#REF!+#REF!+#REF!+#REF!+#REF!+#REF!+#REF!+#REF!+#REF!+#REF!+'01.10.19'!D11</f>
        <v>#REF!</v>
      </c>
      <c r="E11" s="6" t="e">
        <f>#REF!+#REF!+#REF!+#REF!+#REF!+#REF!+#REF!+#REF!+#REF!+#REF!+#REF!+#REF!+#REF!+#REF!+#REF!+#REF!+#REF!+#REF!+#REF!+#REF!+#REF!+#REF!+#REF!+#REF!+#REF!+#REF!+#REF!+#REF!+#REF!+'01.10.19'!E11</f>
        <v>#REF!</v>
      </c>
      <c r="F11" s="6" t="e">
        <f>#REF!+#REF!+#REF!+#REF!+#REF!+#REF!+#REF!+#REF!+#REF!+#REF!+#REF!+#REF!+#REF!+#REF!+#REF!+#REF!+#REF!+#REF!+#REF!+#REF!+#REF!+#REF!+#REF!+#REF!+#REF!+#REF!+#REF!+#REF!+#REF!+'01.10.19'!F11</f>
        <v>#REF!</v>
      </c>
      <c r="G11" s="6" t="e">
        <f>#REF!+#REF!+#REF!+#REF!+#REF!+#REF!+#REF!+#REF!+#REF!+#REF!+#REF!+#REF!+#REF!+#REF!+#REF!+#REF!+#REF!+#REF!+#REF!+#REF!+#REF!+#REF!+#REF!+#REF!+#REF!+#REF!+#REF!+#REF!+#REF!+'01.10.19'!G11</f>
        <v>#REF!</v>
      </c>
      <c r="H11" s="6" t="e">
        <f>#REF!+#REF!+#REF!+#REF!+#REF!+#REF!+#REF!+#REF!+#REF!+#REF!+#REF!+#REF!+#REF!+#REF!+#REF!+#REF!+#REF!+#REF!+#REF!+#REF!+#REF!+#REF!+#REF!+#REF!+#REF!+#REF!+#REF!+#REF!+#REF!+'01.10.19'!H11</f>
        <v>#REF!</v>
      </c>
      <c r="I11" s="6" t="e">
        <f>#REF!+#REF!+#REF!+#REF!+#REF!+#REF!+#REF!+#REF!+#REF!+#REF!+#REF!+#REF!+#REF!+#REF!+#REF!+#REF!+#REF!+#REF!+#REF!+#REF!+#REF!+#REF!+#REF!+#REF!+#REF!+#REF!+#REF!+#REF!+#REF!+'01.10.19'!I11</f>
        <v>#REF!</v>
      </c>
      <c r="J11" s="6" t="e">
        <f>#REF!+#REF!+#REF!+#REF!+#REF!+#REF!+#REF!+#REF!+#REF!+#REF!+#REF!+#REF!+#REF!+#REF!+#REF!+#REF!+#REF!+#REF!+#REF!+#REF!+#REF!+#REF!+#REF!+#REF!+#REF!+#REF!+#REF!+#REF!+#REF!+'01.10.19'!J11</f>
        <v>#REF!</v>
      </c>
      <c r="K11" s="6" t="e">
        <f>#REF!+#REF!+#REF!+#REF!+#REF!+#REF!+#REF!+#REF!+#REF!+#REF!+#REF!+#REF!+#REF!+#REF!+#REF!+#REF!+#REF!+#REF!+#REF!+#REF!+#REF!+#REF!+#REF!+#REF!+#REF!+#REF!+#REF!+#REF!+#REF!+'01.10.19'!K11</f>
        <v>#REF!</v>
      </c>
      <c r="L11" s="6" t="e">
        <f>#REF!+#REF!+#REF!+#REF!+#REF!+#REF!+#REF!+#REF!+#REF!+#REF!+#REF!+#REF!+#REF!+#REF!+#REF!+#REF!+#REF!+#REF!+#REF!+#REF!+#REF!+#REF!+#REF!+#REF!+#REF!+#REF!+#REF!+#REF!+#REF!+'01.10.19'!L11</f>
        <v>#REF!</v>
      </c>
      <c r="M11" s="6" t="e">
        <f>#REF!+#REF!+#REF!+#REF!+#REF!+#REF!+#REF!+#REF!+#REF!+#REF!+#REF!+#REF!+#REF!+#REF!+#REF!+#REF!+#REF!+#REF!+#REF!+#REF!+#REF!+#REF!+#REF!+#REF!+#REF!+#REF!+#REF!+#REF!+#REF!+'01.10.19'!M11</f>
        <v>#REF!</v>
      </c>
      <c r="N11" s="6" t="e">
        <f>#REF!+#REF!+#REF!+#REF!+#REF!+#REF!+#REF!+#REF!+#REF!+#REF!+#REF!+#REF!+#REF!+#REF!+#REF!+#REF!+#REF!+#REF!+#REF!+#REF!+#REF!+#REF!+#REF!+#REF!+#REF!+#REF!+#REF!+#REF!+#REF!+'01.10.19'!N11</f>
        <v>#REF!</v>
      </c>
      <c r="O11" s="6" t="e">
        <f>#REF!+#REF!+#REF!+#REF!+#REF!+#REF!+#REF!+#REF!+#REF!+#REF!+#REF!+#REF!+#REF!+#REF!+#REF!+#REF!+#REF!+#REF!+#REF!+#REF!+#REF!+#REF!+#REF!+#REF!+#REF!+#REF!+#REF!+#REF!+#REF!+'01.10.19'!O11</f>
        <v>#REF!</v>
      </c>
      <c r="P11" s="6" t="e">
        <f>#REF!+#REF!+#REF!+#REF!+#REF!+#REF!+#REF!+#REF!+#REF!+#REF!+#REF!+#REF!+#REF!+#REF!+#REF!+#REF!+#REF!+#REF!+#REF!+#REF!+#REF!+#REF!+#REF!+#REF!+#REF!+#REF!+#REF!+#REF!+#REF!+'01.10.19'!P11</f>
        <v>#REF!</v>
      </c>
      <c r="Q11" s="7" t="e">
        <f t="shared" si="0"/>
        <v>#REF!</v>
      </c>
      <c r="R11" s="6" t="e">
        <f>#REF!+#REF!+#REF!+#REF!+#REF!+#REF!+#REF!+#REF!+#REF!+#REF!+#REF!+#REF!+#REF!+#REF!+#REF!+#REF!+#REF!+#REF!+#REF!+#REF!+#REF!+#REF!+#REF!+#REF!+#REF!+#REF!+#REF!+#REF!+#REF!+'01.10.19'!R11</f>
        <v>#REF!</v>
      </c>
      <c r="S11" s="6" t="e">
        <f t="shared" si="1"/>
        <v>#REF!</v>
      </c>
      <c r="T11" s="6">
        <f>-6700+500+2600+100</f>
        <v>-3500</v>
      </c>
      <c r="U11" s="6" t="e">
        <f t="shared" si="2"/>
        <v>#REF!</v>
      </c>
      <c r="V11" s="7"/>
      <c r="W11" s="57"/>
      <c r="X11" s="46"/>
      <c r="Y11" s="61"/>
      <c r="Z11" s="66"/>
      <c r="AA11" s="61"/>
      <c r="AB11" s="67"/>
      <c r="AC11" s="61"/>
      <c r="AD11" s="66"/>
      <c r="AE11" s="61"/>
      <c r="AF11" s="52">
        <f t="shared" si="3"/>
        <v>0</v>
      </c>
      <c r="AG11" s="46" t="e">
        <f t="shared" si="4"/>
        <v>#REF!</v>
      </c>
      <c r="AH11" s="51" t="e">
        <f t="shared" si="5"/>
        <v>#REF!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/>
      <c r="D12" s="6" t="e">
        <f>#REF!+#REF!+#REF!+#REF!+#REF!+#REF!+#REF!+#REF!+#REF!+#REF!+#REF!+#REF!+#REF!+#REF!+#REF!+#REF!+#REF!+#REF!+#REF!+#REF!+#REF!+#REF!+#REF!+#REF!+#REF!+#REF!+#REF!+#REF!+#REF!+'01.10.19'!D12</f>
        <v>#REF!</v>
      </c>
      <c r="E12" s="6" t="e">
        <f>#REF!+#REF!+#REF!+#REF!+#REF!+#REF!+#REF!+#REF!+#REF!+#REF!+#REF!+#REF!+#REF!+#REF!+#REF!+#REF!+#REF!+#REF!+#REF!+#REF!+#REF!+#REF!+#REF!+#REF!+#REF!+#REF!+#REF!+#REF!+#REF!+'01.10.19'!E12</f>
        <v>#REF!</v>
      </c>
      <c r="F12" s="6" t="e">
        <f>#REF!+#REF!+#REF!+#REF!+#REF!+#REF!+#REF!+#REF!+#REF!+#REF!+#REF!+#REF!+#REF!+#REF!+#REF!+#REF!+#REF!+#REF!+#REF!+#REF!+#REF!+#REF!+#REF!+#REF!+#REF!+#REF!+#REF!+#REF!+#REF!+'01.10.19'!F12</f>
        <v>#REF!</v>
      </c>
      <c r="G12" s="6" t="e">
        <f>#REF!+#REF!+#REF!+#REF!+#REF!+#REF!+#REF!+#REF!+#REF!+#REF!+#REF!+#REF!+#REF!+#REF!+#REF!+#REF!+#REF!+#REF!+#REF!+#REF!+#REF!+#REF!+#REF!+#REF!+#REF!+#REF!+#REF!+#REF!+#REF!+'01.10.19'!G12</f>
        <v>#REF!</v>
      </c>
      <c r="H12" s="6" t="e">
        <f>#REF!+#REF!+#REF!+#REF!+#REF!+#REF!+#REF!+#REF!+#REF!+#REF!+#REF!+#REF!+#REF!+#REF!+#REF!+#REF!+#REF!+#REF!+#REF!+#REF!+#REF!+#REF!+#REF!+#REF!+#REF!+#REF!+#REF!+#REF!+#REF!+'01.10.19'!H12</f>
        <v>#REF!</v>
      </c>
      <c r="I12" s="6" t="e">
        <f>#REF!+#REF!+#REF!+#REF!+#REF!+#REF!+#REF!+#REF!+#REF!+#REF!+#REF!+#REF!+#REF!+#REF!+#REF!+#REF!+#REF!+#REF!+#REF!+#REF!+#REF!+#REF!+#REF!+#REF!+#REF!+#REF!+#REF!+#REF!+#REF!+'01.10.19'!I12</f>
        <v>#REF!</v>
      </c>
      <c r="J12" s="6" t="e">
        <f>#REF!+#REF!+#REF!+#REF!+#REF!+#REF!+#REF!+#REF!+#REF!+#REF!+#REF!+#REF!+#REF!+#REF!+#REF!+#REF!+#REF!+#REF!+#REF!+#REF!+#REF!+#REF!+#REF!+#REF!+#REF!+#REF!+#REF!+#REF!+#REF!+'01.10.19'!J12</f>
        <v>#REF!</v>
      </c>
      <c r="K12" s="6" t="e">
        <f>#REF!+#REF!+#REF!+#REF!+#REF!+#REF!+#REF!+#REF!+#REF!+#REF!+#REF!+#REF!+#REF!+#REF!+#REF!+#REF!+#REF!+#REF!+#REF!+#REF!+#REF!+#REF!+#REF!+#REF!+#REF!+#REF!+#REF!+#REF!+#REF!+'01.10.19'!K12</f>
        <v>#REF!</v>
      </c>
      <c r="L12" s="6" t="e">
        <f>#REF!+#REF!+#REF!+#REF!+#REF!+#REF!+#REF!+#REF!+#REF!+#REF!+#REF!+#REF!+#REF!+#REF!+#REF!+#REF!+#REF!+#REF!+#REF!+#REF!+#REF!+#REF!+#REF!+#REF!+#REF!+#REF!+#REF!+#REF!+#REF!+'01.10.19'!L12</f>
        <v>#REF!</v>
      </c>
      <c r="M12" s="6" t="e">
        <f>#REF!+#REF!+#REF!+#REF!+#REF!+#REF!+#REF!+#REF!+#REF!+#REF!+#REF!+#REF!+#REF!+#REF!+#REF!+#REF!+#REF!+#REF!+#REF!+#REF!+#REF!+#REF!+#REF!+#REF!+#REF!+#REF!+#REF!+#REF!+#REF!+'01.10.19'!M12</f>
        <v>#REF!</v>
      </c>
      <c r="N12" s="6" t="e">
        <f>#REF!+#REF!+#REF!+#REF!+#REF!+#REF!+#REF!+#REF!+#REF!+#REF!+#REF!+#REF!+#REF!+#REF!+#REF!+#REF!+#REF!+#REF!+#REF!+#REF!+#REF!+#REF!+#REF!+#REF!+#REF!+#REF!+#REF!+#REF!+#REF!+'01.10.19'!N12</f>
        <v>#REF!</v>
      </c>
      <c r="O12" s="6" t="e">
        <f>#REF!+#REF!+#REF!+#REF!+#REF!+#REF!+#REF!+#REF!+#REF!+#REF!+#REF!+#REF!+#REF!+#REF!+#REF!+#REF!+#REF!+#REF!+#REF!+#REF!+#REF!+#REF!+#REF!+#REF!+#REF!+#REF!+#REF!+#REF!+#REF!+'01.10.19'!O12</f>
        <v>#REF!</v>
      </c>
      <c r="P12" s="6" t="e">
        <f>#REF!+#REF!+#REF!+#REF!+#REF!+#REF!+#REF!+#REF!+#REF!+#REF!+#REF!+#REF!+#REF!+#REF!+#REF!+#REF!+#REF!+#REF!+#REF!+#REF!+#REF!+#REF!+#REF!+#REF!+#REF!+#REF!+#REF!+#REF!+#REF!+'01.10.19'!P12</f>
        <v>#REF!</v>
      </c>
      <c r="Q12" s="7" t="e">
        <f t="shared" si="0"/>
        <v>#REF!</v>
      </c>
      <c r="R12" s="6" t="e">
        <f>#REF!+#REF!+#REF!+#REF!+#REF!+#REF!+#REF!+#REF!+#REF!+#REF!+#REF!+#REF!+#REF!+#REF!+#REF!+#REF!+#REF!+#REF!+#REF!+#REF!+#REF!+#REF!+#REF!+#REF!+#REF!+#REF!+#REF!+#REF!+#REF!+'01.10.19'!R12</f>
        <v>#REF!</v>
      </c>
      <c r="S12" s="6" t="e">
        <f t="shared" si="1"/>
        <v>#REF!</v>
      </c>
      <c r="T12" s="6">
        <f>3400+250+950+1000-100</f>
        <v>5500</v>
      </c>
      <c r="U12" s="6" t="e">
        <f t="shared" si="2"/>
        <v>#REF!</v>
      </c>
      <c r="V12" s="7"/>
      <c r="W12" s="57"/>
      <c r="X12" s="46"/>
      <c r="Y12" s="61"/>
      <c r="Z12" s="66"/>
      <c r="AA12" s="61"/>
      <c r="AB12" s="67"/>
      <c r="AC12" s="61"/>
      <c r="AD12" s="66"/>
      <c r="AE12" s="61"/>
      <c r="AF12" s="52">
        <f t="shared" si="3"/>
        <v>0</v>
      </c>
      <c r="AG12" s="46" t="e">
        <f t="shared" si="4"/>
        <v>#REF!</v>
      </c>
      <c r="AH12" s="51" t="e">
        <f t="shared" si="5"/>
        <v>#REF!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/>
      <c r="D13" s="6" t="e">
        <f>#REF!+#REF!+#REF!+#REF!+#REF!+#REF!+#REF!+#REF!+#REF!+#REF!+#REF!+#REF!+#REF!+#REF!+#REF!+#REF!+#REF!+#REF!+#REF!+#REF!+#REF!+#REF!+#REF!+#REF!+#REF!+#REF!+#REF!+#REF!+#REF!+'01.10.19'!D13</f>
        <v>#REF!</v>
      </c>
      <c r="E13" s="6" t="e">
        <f>#REF!+#REF!+#REF!+#REF!+#REF!+#REF!+#REF!+#REF!+#REF!+#REF!+#REF!+#REF!+#REF!+#REF!+#REF!+#REF!+#REF!+#REF!+#REF!+#REF!+#REF!+#REF!+#REF!+#REF!+#REF!+#REF!+#REF!+#REF!+#REF!+'01.10.19'!E13</f>
        <v>#REF!</v>
      </c>
      <c r="F13" s="6" t="e">
        <f>#REF!+#REF!+#REF!+#REF!+#REF!+#REF!+#REF!+#REF!+#REF!+#REF!+#REF!+#REF!+#REF!+#REF!+#REF!+#REF!+#REF!+#REF!+#REF!+#REF!+#REF!+#REF!+#REF!+#REF!+#REF!+#REF!+#REF!+#REF!+#REF!+'01.10.19'!F13</f>
        <v>#REF!</v>
      </c>
      <c r="G13" s="6" t="e">
        <f>#REF!+#REF!+#REF!+#REF!+#REF!+#REF!+#REF!+#REF!+#REF!+#REF!+#REF!+#REF!+#REF!+#REF!+#REF!+#REF!+#REF!+#REF!+#REF!+#REF!+#REF!+#REF!+#REF!+#REF!+#REF!+#REF!+#REF!+#REF!+#REF!+'01.10.19'!G13</f>
        <v>#REF!</v>
      </c>
      <c r="H13" s="6" t="e">
        <f>#REF!+#REF!+#REF!+#REF!+#REF!+#REF!+#REF!+#REF!+#REF!+#REF!+#REF!+#REF!+#REF!+#REF!+#REF!+#REF!+#REF!+#REF!+#REF!+#REF!+#REF!+#REF!+#REF!+#REF!+#REF!+#REF!+#REF!+#REF!+#REF!+'01.10.19'!H13</f>
        <v>#REF!</v>
      </c>
      <c r="I13" s="6" t="e">
        <f>#REF!+#REF!+#REF!+#REF!+#REF!+#REF!+#REF!+#REF!+#REF!+#REF!+#REF!+#REF!+#REF!+#REF!+#REF!+#REF!+#REF!+#REF!+#REF!+#REF!+#REF!+#REF!+#REF!+#REF!+#REF!+#REF!+#REF!+#REF!+#REF!+'01.10.19'!I13</f>
        <v>#REF!</v>
      </c>
      <c r="J13" s="6" t="e">
        <f>#REF!+#REF!+#REF!+#REF!+#REF!+#REF!+#REF!+#REF!+#REF!+#REF!+#REF!+#REF!+#REF!+#REF!+#REF!+#REF!+#REF!+#REF!+#REF!+#REF!+#REF!+#REF!+#REF!+#REF!+#REF!+#REF!+#REF!+#REF!+#REF!+'01.10.19'!J13</f>
        <v>#REF!</v>
      </c>
      <c r="K13" s="6" t="e">
        <f>#REF!+#REF!+#REF!+#REF!+#REF!+#REF!+#REF!+#REF!+#REF!+#REF!+#REF!+#REF!+#REF!+#REF!+#REF!+#REF!+#REF!+#REF!+#REF!+#REF!+#REF!+#REF!+#REF!+#REF!+#REF!+#REF!+#REF!+#REF!+#REF!+'01.10.19'!K13</f>
        <v>#REF!</v>
      </c>
      <c r="L13" s="6" t="e">
        <f>#REF!+#REF!+#REF!+#REF!+#REF!+#REF!+#REF!+#REF!+#REF!+#REF!+#REF!+#REF!+#REF!+#REF!+#REF!+#REF!+#REF!+#REF!+#REF!+#REF!+#REF!+#REF!+#REF!+#REF!+#REF!+#REF!+#REF!+#REF!+#REF!+'01.10.19'!L13</f>
        <v>#REF!</v>
      </c>
      <c r="M13" s="6" t="e">
        <f>#REF!+#REF!+#REF!+#REF!+#REF!+#REF!+#REF!+#REF!+#REF!+#REF!+#REF!+#REF!+#REF!+#REF!+#REF!+#REF!+#REF!+#REF!+#REF!+#REF!+#REF!+#REF!+#REF!+#REF!+#REF!+#REF!+#REF!+#REF!+#REF!+'01.10.19'!M13</f>
        <v>#REF!</v>
      </c>
      <c r="N13" s="6" t="e">
        <f>#REF!+#REF!+#REF!+#REF!+#REF!+#REF!+#REF!+#REF!+#REF!+#REF!+#REF!+#REF!+#REF!+#REF!+#REF!+#REF!+#REF!+#REF!+#REF!+#REF!+#REF!+#REF!+#REF!+#REF!+#REF!+#REF!+#REF!+#REF!+#REF!+'01.10.19'!N13</f>
        <v>#REF!</v>
      </c>
      <c r="O13" s="6" t="e">
        <f>#REF!+#REF!+#REF!+#REF!+#REF!+#REF!+#REF!+#REF!+#REF!+#REF!+#REF!+#REF!+#REF!+#REF!+#REF!+#REF!+#REF!+#REF!+#REF!+#REF!+#REF!+#REF!+#REF!+#REF!+#REF!+#REF!+#REF!+#REF!+#REF!+'01.10.19'!O13</f>
        <v>#REF!</v>
      </c>
      <c r="P13" s="6" t="e">
        <f>#REF!+#REF!+#REF!+#REF!+#REF!+#REF!+#REF!+#REF!+#REF!+#REF!+#REF!+#REF!+#REF!+#REF!+#REF!+#REF!+#REF!+#REF!+#REF!+#REF!+#REF!+#REF!+#REF!+#REF!+#REF!+#REF!+#REF!+#REF!+#REF!+'01.10.19'!P13</f>
        <v>#REF!</v>
      </c>
      <c r="Q13" s="7" t="e">
        <f t="shared" si="0"/>
        <v>#REF!</v>
      </c>
      <c r="R13" s="6" t="e">
        <f>#REF!+#REF!+#REF!+#REF!+#REF!+#REF!+#REF!+#REF!+#REF!+#REF!+#REF!+#REF!+#REF!+#REF!+#REF!+#REF!+#REF!+#REF!+#REF!+#REF!+#REF!+#REF!+#REF!+#REF!+#REF!+#REF!+#REF!+#REF!+#REF!+'01.10.19'!R13</f>
        <v>#REF!</v>
      </c>
      <c r="S13" s="6" t="e">
        <f t="shared" si="1"/>
        <v>#REF!</v>
      </c>
      <c r="T13" s="6">
        <v>-50</v>
      </c>
      <c r="U13" s="6" t="e">
        <f t="shared" si="2"/>
        <v>#REF!</v>
      </c>
      <c r="V13" s="7"/>
      <c r="W13" s="57"/>
      <c r="X13" s="46"/>
      <c r="Y13" s="61"/>
      <c r="Z13" s="66"/>
      <c r="AA13" s="61"/>
      <c r="AB13" s="67"/>
      <c r="AC13" s="61"/>
      <c r="AD13" s="66"/>
      <c r="AE13" s="61"/>
      <c r="AF13" s="52">
        <f t="shared" si="3"/>
        <v>0</v>
      </c>
      <c r="AG13" s="46" t="e">
        <f t="shared" si="4"/>
        <v>#REF!</v>
      </c>
      <c r="AH13" s="51" t="e">
        <f t="shared" si="5"/>
        <v>#REF!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/>
      <c r="D14" s="6" t="e">
        <f>#REF!+#REF!+#REF!+#REF!+#REF!+#REF!+#REF!+#REF!+#REF!+#REF!+#REF!+#REF!+#REF!+#REF!+#REF!+#REF!+#REF!+#REF!+#REF!+#REF!+#REF!+#REF!+#REF!+#REF!+#REF!+#REF!+#REF!+#REF!+#REF!+'01.10.19'!D14</f>
        <v>#REF!</v>
      </c>
      <c r="E14" s="6" t="e">
        <f>#REF!+#REF!+#REF!+#REF!+#REF!+#REF!+#REF!+#REF!+#REF!+#REF!+#REF!+#REF!+#REF!+#REF!+#REF!+#REF!+#REF!+#REF!+#REF!+#REF!+#REF!+#REF!+#REF!+#REF!+#REF!+#REF!+#REF!+#REF!+#REF!+'01.10.19'!E14</f>
        <v>#REF!</v>
      </c>
      <c r="F14" s="6" t="e">
        <f>#REF!+#REF!+#REF!+#REF!+#REF!+#REF!+#REF!+#REF!+#REF!+#REF!+#REF!+#REF!+#REF!+#REF!+#REF!+#REF!+#REF!+#REF!+#REF!+#REF!+#REF!+#REF!+#REF!+#REF!+#REF!+#REF!+#REF!+#REF!+#REF!+'01.10.19'!F14</f>
        <v>#REF!</v>
      </c>
      <c r="G14" s="6" t="e">
        <f>#REF!+#REF!+#REF!+#REF!+#REF!+#REF!+#REF!+#REF!+#REF!+#REF!+#REF!+#REF!+#REF!+#REF!+#REF!+#REF!+#REF!+#REF!+#REF!+#REF!+#REF!+#REF!+#REF!+#REF!+#REF!+#REF!+#REF!+#REF!+#REF!+'01.10.19'!G14</f>
        <v>#REF!</v>
      </c>
      <c r="H14" s="6" t="e">
        <f>#REF!+#REF!+#REF!+#REF!+#REF!+#REF!+#REF!+#REF!+#REF!+#REF!+#REF!+#REF!+#REF!+#REF!+#REF!+#REF!+#REF!+#REF!+#REF!+#REF!+#REF!+#REF!+#REF!+#REF!+#REF!+#REF!+#REF!+#REF!+#REF!+'01.10.19'!H14</f>
        <v>#REF!</v>
      </c>
      <c r="I14" s="6" t="e">
        <f>#REF!+#REF!+#REF!+#REF!+#REF!+#REF!+#REF!+#REF!+#REF!+#REF!+#REF!+#REF!+#REF!+#REF!+#REF!+#REF!+#REF!+#REF!+#REF!+#REF!+#REF!+#REF!+#REF!+#REF!+#REF!+#REF!+#REF!+#REF!+#REF!+'01.10.19'!I14</f>
        <v>#REF!</v>
      </c>
      <c r="J14" s="6" t="e">
        <f>#REF!+#REF!+#REF!+#REF!+#REF!+#REF!+#REF!+#REF!+#REF!+#REF!+#REF!+#REF!+#REF!+#REF!+#REF!+#REF!+#REF!+#REF!+#REF!+#REF!+#REF!+#REF!+#REF!+#REF!+#REF!+#REF!+#REF!+#REF!+#REF!+'01.10.19'!J14</f>
        <v>#REF!</v>
      </c>
      <c r="K14" s="6" t="e">
        <f>#REF!+#REF!+#REF!+#REF!+#REF!+#REF!+#REF!+#REF!+#REF!+#REF!+#REF!+#REF!+#REF!+#REF!+#REF!+#REF!+#REF!+#REF!+#REF!+#REF!+#REF!+#REF!+#REF!+#REF!+#REF!+#REF!+#REF!+#REF!+#REF!+'01.10.19'!K14</f>
        <v>#REF!</v>
      </c>
      <c r="L14" s="6" t="e">
        <f>#REF!+#REF!+#REF!+#REF!+#REF!+#REF!+#REF!+#REF!+#REF!+#REF!+#REF!+#REF!+#REF!+#REF!+#REF!+#REF!+#REF!+#REF!+#REF!+#REF!+#REF!+#REF!+#REF!+#REF!+#REF!+#REF!+#REF!+#REF!+#REF!+'01.10.19'!L14</f>
        <v>#REF!</v>
      </c>
      <c r="M14" s="6" t="e">
        <f>#REF!+#REF!+#REF!+#REF!+#REF!+#REF!+#REF!+#REF!+#REF!+#REF!+#REF!+#REF!+#REF!+#REF!+#REF!+#REF!+#REF!+#REF!+#REF!+#REF!+#REF!+#REF!+#REF!+#REF!+#REF!+#REF!+#REF!+#REF!+#REF!+'01.10.19'!M14</f>
        <v>#REF!</v>
      </c>
      <c r="N14" s="6" t="e">
        <f>#REF!+#REF!+#REF!+#REF!+#REF!+#REF!+#REF!+#REF!+#REF!+#REF!+#REF!+#REF!+#REF!+#REF!+#REF!+#REF!+#REF!+#REF!+#REF!+#REF!+#REF!+#REF!+#REF!+#REF!+#REF!+#REF!+#REF!+#REF!+#REF!+'01.10.19'!N14</f>
        <v>#REF!</v>
      </c>
      <c r="O14" s="6" t="e">
        <f>#REF!+#REF!+#REF!+#REF!+#REF!+#REF!+#REF!+#REF!+#REF!+#REF!+#REF!+#REF!+#REF!+#REF!+#REF!+#REF!+#REF!+#REF!+#REF!+#REF!+#REF!+#REF!+#REF!+#REF!+#REF!+#REF!+#REF!+#REF!+#REF!+'01.10.19'!O14</f>
        <v>#REF!</v>
      </c>
      <c r="P14" s="6" t="e">
        <f>#REF!+#REF!+#REF!+#REF!+#REF!+#REF!+#REF!+#REF!+#REF!+#REF!+#REF!+#REF!+#REF!+#REF!+#REF!+#REF!+#REF!+#REF!+#REF!+#REF!+#REF!+#REF!+#REF!+#REF!+#REF!+#REF!+#REF!+#REF!+#REF!+'01.10.19'!P14</f>
        <v>#REF!</v>
      </c>
      <c r="Q14" s="7" t="e">
        <f t="shared" si="0"/>
        <v>#REF!</v>
      </c>
      <c r="R14" s="6" t="e">
        <f>#REF!+#REF!+#REF!+#REF!+#REF!+#REF!+#REF!+#REF!+#REF!+#REF!+#REF!+#REF!+#REF!+#REF!+#REF!+#REF!+#REF!+#REF!+#REF!+#REF!+#REF!+#REF!+#REF!+#REF!+#REF!+#REF!+#REF!+#REF!+#REF!+'01.10.19'!R14</f>
        <v>#REF!</v>
      </c>
      <c r="S14" s="6" t="e">
        <f t="shared" si="1"/>
        <v>#REF!</v>
      </c>
      <c r="T14" s="6">
        <f>-6750-5600+200+850+850</f>
        <v>-10450</v>
      </c>
      <c r="U14" s="6" t="e">
        <f t="shared" si="2"/>
        <v>#REF!</v>
      </c>
      <c r="V14" s="7"/>
      <c r="W14" s="57"/>
      <c r="X14" s="46"/>
      <c r="Y14" s="61"/>
      <c r="Z14" s="47"/>
      <c r="AA14" s="61"/>
      <c r="AB14" s="66"/>
      <c r="AC14" s="61"/>
      <c r="AD14" s="66"/>
      <c r="AE14" s="61"/>
      <c r="AF14" s="52">
        <f t="shared" si="3"/>
        <v>0</v>
      </c>
      <c r="AG14" s="46" t="e">
        <f t="shared" si="4"/>
        <v>#REF!</v>
      </c>
      <c r="AH14" s="51" t="e">
        <f t="shared" si="5"/>
        <v>#REF!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/>
      <c r="D15" s="6" t="e">
        <f>#REF!+#REF!+#REF!+#REF!+#REF!+#REF!+#REF!+#REF!+#REF!+#REF!+#REF!+#REF!+#REF!+#REF!+#REF!+#REF!+#REF!+#REF!+#REF!+#REF!+#REF!+#REF!+#REF!+#REF!+#REF!+#REF!+#REF!+#REF!+#REF!+'01.10.19'!D15</f>
        <v>#REF!</v>
      </c>
      <c r="E15" s="6" t="e">
        <f>#REF!+#REF!+#REF!+#REF!+#REF!+#REF!+#REF!+#REF!+#REF!+#REF!+#REF!+#REF!+#REF!+#REF!+#REF!+#REF!+#REF!+#REF!+#REF!+#REF!+#REF!+#REF!+#REF!+#REF!+#REF!+#REF!+#REF!+#REF!+#REF!+'01.10.19'!E15</f>
        <v>#REF!</v>
      </c>
      <c r="F15" s="6" t="e">
        <f>#REF!+#REF!+#REF!+#REF!+#REF!+#REF!+#REF!+#REF!+#REF!+#REF!+#REF!+#REF!+#REF!+#REF!+#REF!+#REF!+#REF!+#REF!+#REF!+#REF!+#REF!+#REF!+#REF!+#REF!+#REF!+#REF!+#REF!+#REF!+#REF!+'01.10.19'!F15</f>
        <v>#REF!</v>
      </c>
      <c r="G15" s="6" t="e">
        <f>#REF!+#REF!+#REF!+#REF!+#REF!+#REF!+#REF!+#REF!+#REF!+#REF!+#REF!+#REF!+#REF!+#REF!+#REF!+#REF!+#REF!+#REF!+#REF!+#REF!+#REF!+#REF!+#REF!+#REF!+#REF!+#REF!+#REF!+#REF!+#REF!+'01.10.19'!G15</f>
        <v>#REF!</v>
      </c>
      <c r="H15" s="6" t="e">
        <f>#REF!+#REF!+#REF!+#REF!+#REF!+#REF!+#REF!+#REF!+#REF!+#REF!+#REF!+#REF!+#REF!+#REF!+#REF!+#REF!+#REF!+#REF!+#REF!+#REF!+#REF!+#REF!+#REF!+#REF!+#REF!+#REF!+#REF!+#REF!+#REF!+'01.10.19'!H15</f>
        <v>#REF!</v>
      </c>
      <c r="I15" s="6" t="e">
        <f>#REF!+#REF!+#REF!+#REF!+#REF!+#REF!+#REF!+#REF!+#REF!+#REF!+#REF!+#REF!+#REF!+#REF!+#REF!+#REF!+#REF!+#REF!+#REF!+#REF!+#REF!+#REF!+#REF!+#REF!+#REF!+#REF!+#REF!+#REF!+#REF!+'01.10.19'!I15</f>
        <v>#REF!</v>
      </c>
      <c r="J15" s="6" t="e">
        <f>#REF!+#REF!+#REF!+#REF!+#REF!+#REF!+#REF!+#REF!+#REF!+#REF!+#REF!+#REF!+#REF!+#REF!+#REF!+#REF!+#REF!+#REF!+#REF!+#REF!+#REF!+#REF!+#REF!+#REF!+#REF!+#REF!+#REF!+#REF!+#REF!+'01.10.19'!J15</f>
        <v>#REF!</v>
      </c>
      <c r="K15" s="6" t="e">
        <f>#REF!+#REF!+#REF!+#REF!+#REF!+#REF!+#REF!+#REF!+#REF!+#REF!+#REF!+#REF!+#REF!+#REF!+#REF!+#REF!+#REF!+#REF!+#REF!+#REF!+#REF!+#REF!+#REF!+#REF!+#REF!+#REF!+#REF!+#REF!+#REF!+'01.10.19'!K15</f>
        <v>#REF!</v>
      </c>
      <c r="L15" s="6" t="e">
        <f>#REF!+#REF!+#REF!+#REF!+#REF!+#REF!+#REF!+#REF!+#REF!+#REF!+#REF!+#REF!+#REF!+#REF!+#REF!+#REF!+#REF!+#REF!+#REF!+#REF!+#REF!+#REF!+#REF!+#REF!+#REF!+#REF!+#REF!+#REF!+#REF!+'01.10.19'!L15</f>
        <v>#REF!</v>
      </c>
      <c r="M15" s="6" t="e">
        <f>#REF!+#REF!+#REF!+#REF!+#REF!+#REF!+#REF!+#REF!+#REF!+#REF!+#REF!+#REF!+#REF!+#REF!+#REF!+#REF!+#REF!+#REF!+#REF!+#REF!+#REF!+#REF!+#REF!+#REF!+#REF!+#REF!+#REF!+#REF!+#REF!+'01.10.19'!M15</f>
        <v>#REF!</v>
      </c>
      <c r="N15" s="6" t="e">
        <f>#REF!+#REF!+#REF!+#REF!+#REF!+#REF!+#REF!+#REF!+#REF!+#REF!+#REF!+#REF!+#REF!+#REF!+#REF!+#REF!+#REF!+#REF!+#REF!+#REF!+#REF!+#REF!+#REF!+#REF!+#REF!+#REF!+#REF!+#REF!+#REF!+'01.10.19'!N15</f>
        <v>#REF!</v>
      </c>
      <c r="O15" s="6" t="e">
        <f>#REF!+#REF!+#REF!+#REF!+#REF!+#REF!+#REF!+#REF!+#REF!+#REF!+#REF!+#REF!+#REF!+#REF!+#REF!+#REF!+#REF!+#REF!+#REF!+#REF!+#REF!+#REF!+#REF!+#REF!+#REF!+#REF!+#REF!+#REF!+#REF!+'01.10.19'!O15</f>
        <v>#REF!</v>
      </c>
      <c r="P15" s="6" t="e">
        <f>#REF!+#REF!+#REF!+#REF!+#REF!+#REF!+#REF!+#REF!+#REF!+#REF!+#REF!+#REF!+#REF!+#REF!+#REF!+#REF!+#REF!+#REF!+#REF!+#REF!+#REF!+#REF!+#REF!+#REF!+#REF!+#REF!+#REF!+#REF!+#REF!+'01.10.19'!P15</f>
        <v>#REF!</v>
      </c>
      <c r="Q15" s="7" t="e">
        <f t="shared" si="0"/>
        <v>#REF!</v>
      </c>
      <c r="R15" s="6" t="e">
        <f>#REF!+#REF!+#REF!+#REF!+#REF!+#REF!+#REF!+#REF!+#REF!+#REF!+#REF!+#REF!+#REF!+#REF!+#REF!+#REF!+#REF!+#REF!+#REF!+#REF!+#REF!+#REF!+#REF!+#REF!+#REF!+#REF!+#REF!+#REF!+#REF!+'01.10.19'!R15</f>
        <v>#REF!</v>
      </c>
      <c r="S15" s="6" t="e">
        <f t="shared" si="1"/>
        <v>#REF!</v>
      </c>
      <c r="T15" s="6">
        <f>-2800-50</f>
        <v>-2850</v>
      </c>
      <c r="U15" s="6" t="e">
        <f t="shared" si="2"/>
        <v>#REF!</v>
      </c>
      <c r="V15" s="7"/>
      <c r="W15" s="57"/>
      <c r="X15" s="46"/>
      <c r="Y15" s="61"/>
      <c r="Z15" s="66"/>
      <c r="AA15" s="61"/>
      <c r="AB15" s="67"/>
      <c r="AC15" s="61"/>
      <c r="AD15" s="66"/>
      <c r="AE15" s="61"/>
      <c r="AF15" s="52">
        <f t="shared" si="3"/>
        <v>0</v>
      </c>
      <c r="AG15" s="46" t="e">
        <f t="shared" si="4"/>
        <v>#REF!</v>
      </c>
      <c r="AH15" s="51" t="e">
        <f t="shared" si="5"/>
        <v>#REF!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/>
      <c r="D16" s="6" t="e">
        <f>#REF!+#REF!+#REF!+#REF!+#REF!+#REF!+#REF!+#REF!+#REF!+#REF!+#REF!+#REF!+#REF!+#REF!+#REF!+#REF!+#REF!+#REF!+#REF!+#REF!+#REF!+#REF!+#REF!+#REF!+#REF!+#REF!+#REF!+#REF!+#REF!+'01.10.19'!D16</f>
        <v>#REF!</v>
      </c>
      <c r="E16" s="6" t="e">
        <f>#REF!+#REF!+#REF!+#REF!+#REF!+#REF!+#REF!+#REF!+#REF!+#REF!+#REF!+#REF!+#REF!+#REF!+#REF!+#REF!+#REF!+#REF!+#REF!+#REF!+#REF!+#REF!+#REF!+#REF!+#REF!+#REF!+#REF!+#REF!+#REF!+'01.10.19'!E16</f>
        <v>#REF!</v>
      </c>
      <c r="F16" s="6" t="e">
        <f>#REF!+#REF!+#REF!+#REF!+#REF!+#REF!+#REF!+#REF!+#REF!+#REF!+#REF!+#REF!+#REF!+#REF!+#REF!+#REF!+#REF!+#REF!+#REF!+#REF!+#REF!+#REF!+#REF!+#REF!+#REF!+#REF!+#REF!+#REF!+#REF!+'01.10.19'!F16</f>
        <v>#REF!</v>
      </c>
      <c r="G16" s="6" t="e">
        <f>#REF!+#REF!+#REF!+#REF!+#REF!+#REF!+#REF!+#REF!+#REF!+#REF!+#REF!+#REF!+#REF!+#REF!+#REF!+#REF!+#REF!+#REF!+#REF!+#REF!+#REF!+#REF!+#REF!+#REF!+#REF!+#REF!+#REF!+#REF!+#REF!+'01.10.19'!G16</f>
        <v>#REF!</v>
      </c>
      <c r="H16" s="6" t="e">
        <f>#REF!+#REF!+#REF!+#REF!+#REF!+#REF!+#REF!+#REF!+#REF!+#REF!+#REF!+#REF!+#REF!+#REF!+#REF!+#REF!+#REF!+#REF!+#REF!+#REF!+#REF!+#REF!+#REF!+#REF!+#REF!+#REF!+#REF!+#REF!+#REF!+'01.10.19'!H16</f>
        <v>#REF!</v>
      </c>
      <c r="I16" s="6" t="e">
        <f>#REF!+#REF!+#REF!+#REF!+#REF!+#REF!+#REF!+#REF!+#REF!+#REF!+#REF!+#REF!+#REF!+#REF!+#REF!+#REF!+#REF!+#REF!+#REF!+#REF!+#REF!+#REF!+#REF!+#REF!+#REF!+#REF!+#REF!+#REF!+#REF!+'01.10.19'!I16</f>
        <v>#REF!</v>
      </c>
      <c r="J16" s="6" t="e">
        <f>#REF!+#REF!+#REF!+#REF!+#REF!+#REF!+#REF!+#REF!+#REF!+#REF!+#REF!+#REF!+#REF!+#REF!+#REF!+#REF!+#REF!+#REF!+#REF!+#REF!+#REF!+#REF!+#REF!+#REF!+#REF!+#REF!+#REF!+#REF!+#REF!+'01.10.19'!J16</f>
        <v>#REF!</v>
      </c>
      <c r="K16" s="6" t="e">
        <f>#REF!+#REF!+#REF!+#REF!+#REF!+#REF!+#REF!+#REF!+#REF!+#REF!+#REF!+#REF!+#REF!+#REF!+#REF!+#REF!+#REF!+#REF!+#REF!+#REF!+#REF!+#REF!+#REF!+#REF!+#REF!+#REF!+#REF!+#REF!+#REF!+'01.10.19'!K16</f>
        <v>#REF!</v>
      </c>
      <c r="L16" s="6" t="e">
        <f>#REF!+#REF!+#REF!+#REF!+#REF!+#REF!+#REF!+#REF!+#REF!+#REF!+#REF!+#REF!+#REF!+#REF!+#REF!+#REF!+#REF!+#REF!+#REF!+#REF!+#REF!+#REF!+#REF!+#REF!+#REF!+#REF!+#REF!+#REF!+#REF!+'01.10.19'!L16</f>
        <v>#REF!</v>
      </c>
      <c r="M16" s="6" t="e">
        <f>#REF!+#REF!+#REF!+#REF!+#REF!+#REF!+#REF!+#REF!+#REF!+#REF!+#REF!+#REF!+#REF!+#REF!+#REF!+#REF!+#REF!+#REF!+#REF!+#REF!+#REF!+#REF!+#REF!+#REF!+#REF!+#REF!+#REF!+#REF!+#REF!+'01.10.19'!M16</f>
        <v>#REF!</v>
      </c>
      <c r="N16" s="6" t="e">
        <f>#REF!+#REF!+#REF!+#REF!+#REF!+#REF!+#REF!+#REF!+#REF!+#REF!+#REF!+#REF!+#REF!+#REF!+#REF!+#REF!+#REF!+#REF!+#REF!+#REF!+#REF!+#REF!+#REF!+#REF!+#REF!+#REF!+#REF!+#REF!+#REF!+'01.10.19'!N16</f>
        <v>#REF!</v>
      </c>
      <c r="O16" s="6" t="e">
        <f>#REF!+#REF!+#REF!+#REF!+#REF!+#REF!+#REF!+#REF!+#REF!+#REF!+#REF!+#REF!+#REF!+#REF!+#REF!+#REF!+#REF!+#REF!+#REF!+#REF!+#REF!+#REF!+#REF!+#REF!+#REF!+#REF!+#REF!+#REF!+#REF!+'01.10.19'!O16</f>
        <v>#REF!</v>
      </c>
      <c r="P16" s="6" t="e">
        <f>#REF!+#REF!+#REF!+#REF!+#REF!+#REF!+#REF!+#REF!+#REF!+#REF!+#REF!+#REF!+#REF!+#REF!+#REF!+#REF!+#REF!+#REF!+#REF!+#REF!+#REF!+#REF!+#REF!+#REF!+#REF!+#REF!+#REF!+#REF!+#REF!+'01.10.19'!P16</f>
        <v>#REF!</v>
      </c>
      <c r="Q16" s="7" t="e">
        <f t="shared" si="0"/>
        <v>#REF!</v>
      </c>
      <c r="R16" s="6" t="e">
        <f>#REF!+#REF!+#REF!+#REF!+#REF!+#REF!+#REF!+#REF!+#REF!+#REF!+#REF!+#REF!+#REF!+#REF!+#REF!+#REF!+#REF!+#REF!+#REF!+#REF!+#REF!+#REF!+#REF!+#REF!+#REF!+#REF!+#REF!+#REF!+#REF!+'01.10.19'!R16</f>
        <v>#REF!</v>
      </c>
      <c r="S16" s="6" t="e">
        <f t="shared" si="1"/>
        <v>#REF!</v>
      </c>
      <c r="T16" s="34">
        <f>-10000-300-50</f>
        <v>-10350</v>
      </c>
      <c r="U16" s="6" t="e">
        <f t="shared" si="2"/>
        <v>#REF!</v>
      </c>
      <c r="V16" s="7"/>
      <c r="W16" s="57"/>
      <c r="X16" s="46"/>
      <c r="Y16" s="61"/>
      <c r="Z16" s="47"/>
      <c r="AA16" s="61"/>
      <c r="AB16" s="67"/>
      <c r="AC16" s="61"/>
      <c r="AD16" s="47"/>
      <c r="AE16" s="61"/>
      <c r="AF16" s="52">
        <f t="shared" si="3"/>
        <v>0</v>
      </c>
      <c r="AG16" s="46" t="e">
        <f t="shared" si="4"/>
        <v>#REF!</v>
      </c>
      <c r="AH16" s="51" t="e">
        <f t="shared" si="5"/>
        <v>#REF!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/>
      <c r="D17" s="6" t="e">
        <f>#REF!+#REF!+#REF!+#REF!+#REF!+#REF!+#REF!+#REF!+#REF!+#REF!+#REF!+#REF!+#REF!+#REF!+#REF!+#REF!+#REF!+#REF!+#REF!+#REF!+#REF!+#REF!+#REF!+#REF!+#REF!+#REF!+#REF!+#REF!+#REF!+'01.10.19'!D17</f>
        <v>#REF!</v>
      </c>
      <c r="E17" s="6" t="e">
        <f>#REF!+#REF!+#REF!+#REF!+#REF!+#REF!+#REF!+#REF!+#REF!+#REF!+#REF!+#REF!+#REF!+#REF!+#REF!+#REF!+#REF!+#REF!+#REF!+#REF!+#REF!+#REF!+#REF!+#REF!+#REF!+#REF!+#REF!+#REF!+#REF!+'01.10.19'!E17</f>
        <v>#REF!</v>
      </c>
      <c r="F17" s="6" t="e">
        <f>#REF!+#REF!+#REF!+#REF!+#REF!+#REF!+#REF!+#REF!+#REF!+#REF!+#REF!+#REF!+#REF!+#REF!+#REF!+#REF!+#REF!+#REF!+#REF!+#REF!+#REF!+#REF!+#REF!+#REF!+#REF!+#REF!+#REF!+#REF!+#REF!+'01.10.19'!F17</f>
        <v>#REF!</v>
      </c>
      <c r="G17" s="6" t="e">
        <f>#REF!+#REF!+#REF!+#REF!+#REF!+#REF!+#REF!+#REF!+#REF!+#REF!+#REF!+#REF!+#REF!+#REF!+#REF!+#REF!+#REF!+#REF!+#REF!+#REF!+#REF!+#REF!+#REF!+#REF!+#REF!+#REF!+#REF!+#REF!+#REF!+'01.10.19'!G17</f>
        <v>#REF!</v>
      </c>
      <c r="H17" s="6" t="e">
        <f>#REF!+#REF!+#REF!+#REF!+#REF!+#REF!+#REF!+#REF!+#REF!+#REF!+#REF!+#REF!+#REF!+#REF!+#REF!+#REF!+#REF!+#REF!+#REF!+#REF!+#REF!+#REF!+#REF!+#REF!+#REF!+#REF!+#REF!+#REF!+#REF!+'01.10.19'!H17</f>
        <v>#REF!</v>
      </c>
      <c r="I17" s="6" t="e">
        <f>#REF!+#REF!+#REF!+#REF!+#REF!+#REF!+#REF!+#REF!+#REF!+#REF!+#REF!+#REF!+#REF!+#REF!+#REF!+#REF!+#REF!+#REF!+#REF!+#REF!+#REF!+#REF!+#REF!+#REF!+#REF!+#REF!+#REF!+#REF!+#REF!+'01.10.19'!I17</f>
        <v>#REF!</v>
      </c>
      <c r="J17" s="6" t="e">
        <f>#REF!+#REF!+#REF!+#REF!+#REF!+#REF!+#REF!+#REF!+#REF!+#REF!+#REF!+#REF!+#REF!+#REF!+#REF!+#REF!+#REF!+#REF!+#REF!+#REF!+#REF!+#REF!+#REF!+#REF!+#REF!+#REF!+#REF!+#REF!+#REF!+'01.10.19'!J17</f>
        <v>#REF!</v>
      </c>
      <c r="K17" s="6" t="e">
        <f>#REF!+#REF!+#REF!+#REF!+#REF!+#REF!+#REF!+#REF!+#REF!+#REF!+#REF!+#REF!+#REF!+#REF!+#REF!+#REF!+#REF!+#REF!+#REF!+#REF!+#REF!+#REF!+#REF!+#REF!+#REF!+#REF!+#REF!+#REF!+#REF!+'01.10.19'!K17</f>
        <v>#REF!</v>
      </c>
      <c r="L17" s="6" t="e">
        <f>#REF!+#REF!+#REF!+#REF!+#REF!+#REF!+#REF!+#REF!+#REF!+#REF!+#REF!+#REF!+#REF!+#REF!+#REF!+#REF!+#REF!+#REF!+#REF!+#REF!+#REF!+#REF!+#REF!+#REF!+#REF!+#REF!+#REF!+#REF!+#REF!+'01.10.19'!L17</f>
        <v>#REF!</v>
      </c>
      <c r="M17" s="6" t="e">
        <f>#REF!+#REF!+#REF!+#REF!+#REF!+#REF!+#REF!+#REF!+#REF!+#REF!+#REF!+#REF!+#REF!+#REF!+#REF!+#REF!+#REF!+#REF!+#REF!+#REF!+#REF!+#REF!+#REF!+#REF!+#REF!+#REF!+#REF!+#REF!+#REF!+'01.10.19'!M17</f>
        <v>#REF!</v>
      </c>
      <c r="N17" s="6" t="e">
        <f>#REF!+#REF!+#REF!+#REF!+#REF!+#REF!+#REF!+#REF!+#REF!+#REF!+#REF!+#REF!+#REF!+#REF!+#REF!+#REF!+#REF!+#REF!+#REF!+#REF!+#REF!+#REF!+#REF!+#REF!+#REF!+#REF!+#REF!+#REF!+#REF!+'01.10.19'!N17</f>
        <v>#REF!</v>
      </c>
      <c r="O17" s="6" t="e">
        <f>#REF!+#REF!+#REF!+#REF!+#REF!+#REF!+#REF!+#REF!+#REF!+#REF!+#REF!+#REF!+#REF!+#REF!+#REF!+#REF!+#REF!+#REF!+#REF!+#REF!+#REF!+#REF!+#REF!+#REF!+#REF!+#REF!+#REF!+#REF!+#REF!+'01.10.19'!O17</f>
        <v>#REF!</v>
      </c>
      <c r="P17" s="6" t="e">
        <f>#REF!+#REF!+#REF!+#REF!+#REF!+#REF!+#REF!+#REF!+#REF!+#REF!+#REF!+#REF!+#REF!+#REF!+#REF!+#REF!+#REF!+#REF!+#REF!+#REF!+#REF!+#REF!+#REF!+#REF!+#REF!+#REF!+#REF!+#REF!+#REF!+'01.10.19'!P17</f>
        <v>#REF!</v>
      </c>
      <c r="Q17" s="7" t="e">
        <f t="shared" si="0"/>
        <v>#REF!</v>
      </c>
      <c r="R17" s="6" t="e">
        <f>#REF!+#REF!+#REF!+#REF!+#REF!+#REF!+#REF!+#REF!+#REF!+#REF!+#REF!+#REF!+#REF!+#REF!+#REF!+#REF!+#REF!+#REF!+#REF!+#REF!+#REF!+#REF!+#REF!+#REF!+#REF!+#REF!+#REF!+#REF!+#REF!+'01.10.19'!R17</f>
        <v>#REF!</v>
      </c>
      <c r="S17" s="6" t="e">
        <f t="shared" si="1"/>
        <v>#REF!</v>
      </c>
      <c r="T17" s="6">
        <f>-750-750-1000</f>
        <v>-2500</v>
      </c>
      <c r="U17" s="6" t="e">
        <f t="shared" si="2"/>
        <v>#REF!</v>
      </c>
      <c r="V17" s="7"/>
      <c r="W17" s="57"/>
      <c r="X17" s="46"/>
      <c r="Y17" s="61"/>
      <c r="Z17" s="47"/>
      <c r="AA17" s="61"/>
      <c r="AB17" s="66"/>
      <c r="AC17" s="61"/>
      <c r="AD17" s="66"/>
      <c r="AE17" s="61"/>
      <c r="AF17" s="52">
        <f t="shared" si="3"/>
        <v>0</v>
      </c>
      <c r="AG17" s="46" t="e">
        <f t="shared" si="4"/>
        <v>#REF!</v>
      </c>
      <c r="AH17" s="51" t="e">
        <f t="shared" si="5"/>
        <v>#REF!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6" t="e">
        <f>#REF!+#REF!+#REF!+#REF!+#REF!+#REF!+#REF!+#REF!+#REF!+#REF!+#REF!+#REF!+#REF!+#REF!+#REF!+#REF!+#REF!+#REF!+#REF!+#REF!+#REF!+#REF!+#REF!+#REF!+#REF!+#REF!+#REF!+#REF!+#REF!+'01.10.19'!D18</f>
        <v>#REF!</v>
      </c>
      <c r="E18" s="6" t="e">
        <f>#REF!+#REF!+#REF!+#REF!+#REF!+#REF!+#REF!+#REF!+#REF!+#REF!+#REF!+#REF!+#REF!+#REF!+#REF!+#REF!+#REF!+#REF!+#REF!+#REF!+#REF!+#REF!+#REF!+#REF!+#REF!+#REF!+#REF!+#REF!+#REF!+'01.10.19'!E18</f>
        <v>#REF!</v>
      </c>
      <c r="F18" s="6" t="e">
        <f>#REF!+#REF!+#REF!+#REF!+#REF!+#REF!+#REF!+#REF!+#REF!+#REF!+#REF!+#REF!+#REF!+#REF!+#REF!+#REF!+#REF!+#REF!+#REF!+#REF!+#REF!+#REF!+#REF!+#REF!+#REF!+#REF!+#REF!+#REF!+#REF!+'01.10.19'!F18</f>
        <v>#REF!</v>
      </c>
      <c r="G18" s="6" t="e">
        <f>#REF!+#REF!+#REF!+#REF!+#REF!+#REF!+#REF!+#REF!+#REF!+#REF!+#REF!+#REF!+#REF!+#REF!+#REF!+#REF!+#REF!+#REF!+#REF!+#REF!+#REF!+#REF!+#REF!+#REF!+#REF!+#REF!+#REF!+#REF!+#REF!+'01.10.19'!G18</f>
        <v>#REF!</v>
      </c>
      <c r="H18" s="6" t="e">
        <f>#REF!+#REF!+#REF!+#REF!+#REF!+#REF!+#REF!+#REF!+#REF!+#REF!+#REF!+#REF!+#REF!+#REF!+#REF!+#REF!+#REF!+#REF!+#REF!+#REF!+#REF!+#REF!+#REF!+#REF!+#REF!+#REF!+#REF!+#REF!+#REF!+'01.10.19'!H18</f>
        <v>#REF!</v>
      </c>
      <c r="I18" s="6" t="e">
        <f>#REF!+#REF!+#REF!+#REF!+#REF!+#REF!+#REF!+#REF!+#REF!+#REF!+#REF!+#REF!+#REF!+#REF!+#REF!+#REF!+#REF!+#REF!+#REF!+#REF!+#REF!+#REF!+#REF!+#REF!+#REF!+#REF!+#REF!+#REF!+#REF!+'01.10.19'!I18</f>
        <v>#REF!</v>
      </c>
      <c r="J18" s="6" t="e">
        <f>#REF!+#REF!+#REF!+#REF!+#REF!+#REF!+#REF!+#REF!+#REF!+#REF!+#REF!+#REF!+#REF!+#REF!+#REF!+#REF!+#REF!+#REF!+#REF!+#REF!+#REF!+#REF!+#REF!+#REF!+#REF!+#REF!+#REF!+#REF!+#REF!+'01.10.19'!J18</f>
        <v>#REF!</v>
      </c>
      <c r="K18" s="6" t="e">
        <f>#REF!+#REF!+#REF!+#REF!+#REF!+#REF!+#REF!+#REF!+#REF!+#REF!+#REF!+#REF!+#REF!+#REF!+#REF!+#REF!+#REF!+#REF!+#REF!+#REF!+#REF!+#REF!+#REF!+#REF!+#REF!+#REF!+#REF!+#REF!+#REF!+'01.10.19'!K18</f>
        <v>#REF!</v>
      </c>
      <c r="L18" s="6" t="e">
        <f>#REF!+#REF!+#REF!+#REF!+#REF!+#REF!+#REF!+#REF!+#REF!+#REF!+#REF!+#REF!+#REF!+#REF!+#REF!+#REF!+#REF!+#REF!+#REF!+#REF!+#REF!+#REF!+#REF!+#REF!+#REF!+#REF!+#REF!+#REF!+#REF!+'01.10.19'!L18</f>
        <v>#REF!</v>
      </c>
      <c r="M18" s="6" t="e">
        <f>#REF!+#REF!+#REF!+#REF!+#REF!+#REF!+#REF!+#REF!+#REF!+#REF!+#REF!+#REF!+#REF!+#REF!+#REF!+#REF!+#REF!+#REF!+#REF!+#REF!+#REF!+#REF!+#REF!+#REF!+#REF!+#REF!+#REF!+#REF!+#REF!+'01.10.19'!M18</f>
        <v>#REF!</v>
      </c>
      <c r="N18" s="6" t="e">
        <f>#REF!+#REF!+#REF!+#REF!+#REF!+#REF!+#REF!+#REF!+#REF!+#REF!+#REF!+#REF!+#REF!+#REF!+#REF!+#REF!+#REF!+#REF!+#REF!+#REF!+#REF!+#REF!+#REF!+#REF!+#REF!+#REF!+#REF!+#REF!+#REF!+'01.10.19'!N18</f>
        <v>#REF!</v>
      </c>
      <c r="O18" s="6" t="e">
        <f>#REF!+#REF!+#REF!+#REF!+#REF!+#REF!+#REF!+#REF!+#REF!+#REF!+#REF!+#REF!+#REF!+#REF!+#REF!+#REF!+#REF!+#REF!+#REF!+#REF!+#REF!+#REF!+#REF!+#REF!+#REF!+#REF!+#REF!+#REF!+#REF!+'01.10.19'!O18</f>
        <v>#REF!</v>
      </c>
      <c r="P18" s="6" t="e">
        <f>#REF!+#REF!+#REF!+#REF!+#REF!+#REF!+#REF!+#REF!+#REF!+#REF!+#REF!+#REF!+#REF!+#REF!+#REF!+#REF!+#REF!+#REF!+#REF!+#REF!+#REF!+#REF!+#REF!+#REF!+#REF!+#REF!+#REF!+#REF!+#REF!+'01.10.19'!P18</f>
        <v>#REF!</v>
      </c>
      <c r="Q18" s="9"/>
      <c r="R18" s="6" t="e">
        <f>#REF!+#REF!+#REF!+#REF!+#REF!+#REF!+#REF!+#REF!+#REF!+#REF!+#REF!+#REF!+#REF!+#REF!+#REF!+#REF!+#REF!+#REF!+#REF!+#REF!+#REF!+#REF!+#REF!+#REF!+#REF!+#REF!+#REF!+#REF!+#REF!+'01.10.19'!R18</f>
        <v>#REF!</v>
      </c>
      <c r="S18" s="8"/>
      <c r="T18" s="8">
        <v>0</v>
      </c>
      <c r="U18" s="8"/>
      <c r="V18" s="9"/>
      <c r="W18" s="57"/>
      <c r="X18" s="46"/>
      <c r="Y18" s="61"/>
      <c r="Z18" s="66"/>
      <c r="AA18" s="61"/>
      <c r="AB18" s="67"/>
      <c r="AC18" s="61"/>
      <c r="AD18" s="66"/>
      <c r="AE18" s="61"/>
      <c r="AF18" s="52">
        <f t="shared" si="3"/>
        <v>0</v>
      </c>
      <c r="AG18" s="46">
        <f t="shared" si="4"/>
        <v>0</v>
      </c>
      <c r="AH18" s="51">
        <f t="shared" si="5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/>
      <c r="D19" s="6" t="e">
        <f>#REF!+#REF!+#REF!+#REF!+#REF!+#REF!+#REF!+#REF!+#REF!+#REF!+#REF!+#REF!+#REF!+#REF!+#REF!+#REF!+#REF!+#REF!+#REF!+#REF!+#REF!+#REF!+#REF!+#REF!+#REF!+#REF!+#REF!+#REF!+#REF!+'01.10.19'!D19</f>
        <v>#REF!</v>
      </c>
      <c r="E19" s="6" t="e">
        <f>#REF!+#REF!+#REF!+#REF!+#REF!+#REF!+#REF!+#REF!+#REF!+#REF!+#REF!+#REF!+#REF!+#REF!+#REF!+#REF!+#REF!+#REF!+#REF!+#REF!+#REF!+#REF!+#REF!+#REF!+#REF!+#REF!+#REF!+#REF!+#REF!+'01.10.19'!E19</f>
        <v>#REF!</v>
      </c>
      <c r="F19" s="6" t="e">
        <f>#REF!+#REF!+#REF!+#REF!+#REF!+#REF!+#REF!+#REF!+#REF!+#REF!+#REF!+#REF!+#REF!+#REF!+#REF!+#REF!+#REF!+#REF!+#REF!+#REF!+#REF!+#REF!+#REF!+#REF!+#REF!+#REF!+#REF!+#REF!+#REF!+'01.10.19'!F19</f>
        <v>#REF!</v>
      </c>
      <c r="G19" s="6" t="e">
        <f>#REF!+#REF!+#REF!+#REF!+#REF!+#REF!+#REF!+#REF!+#REF!+#REF!+#REF!+#REF!+#REF!+#REF!+#REF!+#REF!+#REF!+#REF!+#REF!+#REF!+#REF!+#REF!+#REF!+#REF!+#REF!+#REF!+#REF!+#REF!+#REF!+'01.10.19'!G19</f>
        <v>#REF!</v>
      </c>
      <c r="H19" s="6" t="e">
        <f>#REF!+#REF!+#REF!+#REF!+#REF!+#REF!+#REF!+#REF!+#REF!+#REF!+#REF!+#REF!+#REF!+#REF!+#REF!+#REF!+#REF!+#REF!+#REF!+#REF!+#REF!+#REF!+#REF!+#REF!+#REF!+#REF!+#REF!+#REF!+#REF!+'01.10.19'!H19</f>
        <v>#REF!</v>
      </c>
      <c r="I19" s="6" t="e">
        <f>#REF!+#REF!+#REF!+#REF!+#REF!+#REF!+#REF!+#REF!+#REF!+#REF!+#REF!+#REF!+#REF!+#REF!+#REF!+#REF!+#REF!+#REF!+#REF!+#REF!+#REF!+#REF!+#REF!+#REF!+#REF!+#REF!+#REF!+#REF!+#REF!+'01.10.19'!I19</f>
        <v>#REF!</v>
      </c>
      <c r="J19" s="6" t="e">
        <f>#REF!+#REF!+#REF!+#REF!+#REF!+#REF!+#REF!+#REF!+#REF!+#REF!+#REF!+#REF!+#REF!+#REF!+#REF!+#REF!+#REF!+#REF!+#REF!+#REF!+#REF!+#REF!+#REF!+#REF!+#REF!+#REF!+#REF!+#REF!+#REF!+'01.10.19'!J19</f>
        <v>#REF!</v>
      </c>
      <c r="K19" s="6" t="e">
        <f>#REF!+#REF!+#REF!+#REF!+#REF!+#REF!+#REF!+#REF!+#REF!+#REF!+#REF!+#REF!+#REF!+#REF!+#REF!+#REF!+#REF!+#REF!+#REF!+#REF!+#REF!+#REF!+#REF!+#REF!+#REF!+#REF!+#REF!+#REF!+#REF!+'01.10.19'!K19</f>
        <v>#REF!</v>
      </c>
      <c r="L19" s="6" t="e">
        <f>#REF!+#REF!+#REF!+#REF!+#REF!+#REF!+#REF!+#REF!+#REF!+#REF!+#REF!+#REF!+#REF!+#REF!+#REF!+#REF!+#REF!+#REF!+#REF!+#REF!+#REF!+#REF!+#REF!+#REF!+#REF!+#REF!+#REF!+#REF!+#REF!+'01.10.19'!L19</f>
        <v>#REF!</v>
      </c>
      <c r="M19" s="6" t="e">
        <f>#REF!+#REF!+#REF!+#REF!+#REF!+#REF!+#REF!+#REF!+#REF!+#REF!+#REF!+#REF!+#REF!+#REF!+#REF!+#REF!+#REF!+#REF!+#REF!+#REF!+#REF!+#REF!+#REF!+#REF!+#REF!+#REF!+#REF!+#REF!+#REF!+'01.10.19'!M19</f>
        <v>#REF!</v>
      </c>
      <c r="N19" s="6" t="e">
        <f>#REF!+#REF!+#REF!+#REF!+#REF!+#REF!+#REF!+#REF!+#REF!+#REF!+#REF!+#REF!+#REF!+#REF!+#REF!+#REF!+#REF!+#REF!+#REF!+#REF!+#REF!+#REF!+#REF!+#REF!+#REF!+#REF!+#REF!+#REF!+#REF!+'01.10.19'!N19</f>
        <v>#REF!</v>
      </c>
      <c r="O19" s="6" t="e">
        <f>#REF!+#REF!+#REF!+#REF!+#REF!+#REF!+#REF!+#REF!+#REF!+#REF!+#REF!+#REF!+#REF!+#REF!+#REF!+#REF!+#REF!+#REF!+#REF!+#REF!+#REF!+#REF!+#REF!+#REF!+#REF!+#REF!+#REF!+#REF!+#REF!+'01.10.19'!O19</f>
        <v>#REF!</v>
      </c>
      <c r="P19" s="6" t="e">
        <f>#REF!+#REF!+#REF!+#REF!+#REF!+#REF!+#REF!+#REF!+#REF!+#REF!+#REF!+#REF!+#REF!+#REF!+#REF!+#REF!+#REF!+#REF!+#REF!+#REF!+#REF!+#REF!+#REF!+#REF!+#REF!+#REF!+#REF!+#REF!+#REF!+'01.10.19'!P19</f>
        <v>#REF!</v>
      </c>
      <c r="Q19" s="7" t="e">
        <f t="shared" si="0"/>
        <v>#REF!</v>
      </c>
      <c r="R19" s="6" t="e">
        <f>#REF!+#REF!+#REF!+#REF!+#REF!+#REF!+#REF!+#REF!+#REF!+#REF!+#REF!+#REF!+#REF!+#REF!+#REF!+#REF!+#REF!+#REF!+#REF!+#REF!+#REF!+#REF!+#REF!+#REF!+#REF!+#REF!+#REF!+#REF!+#REF!+'01.10.19'!R19</f>
        <v>#REF!</v>
      </c>
      <c r="S19" s="6" t="e">
        <f t="shared" si="1"/>
        <v>#REF!</v>
      </c>
      <c r="T19" s="6">
        <v>-6270</v>
      </c>
      <c r="U19" s="6" t="e">
        <f t="shared" si="2"/>
        <v>#REF!</v>
      </c>
      <c r="V19" s="86"/>
      <c r="W19" s="57"/>
      <c r="X19" s="46"/>
      <c r="Y19" s="61"/>
      <c r="Z19" s="66"/>
      <c r="AA19" s="61"/>
      <c r="AB19" s="67"/>
      <c r="AC19" s="61"/>
      <c r="AD19" s="66"/>
      <c r="AE19" s="61"/>
      <c r="AF19" s="52">
        <f t="shared" si="3"/>
        <v>0</v>
      </c>
      <c r="AG19" s="46" t="e">
        <f t="shared" si="4"/>
        <v>#REF!</v>
      </c>
      <c r="AH19" s="51" t="e">
        <f t="shared" si="5"/>
        <v>#REF!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/>
      <c r="D20" s="6" t="e">
        <f>#REF!+#REF!+#REF!+#REF!+#REF!+#REF!+#REF!+#REF!+#REF!+#REF!+#REF!+#REF!+#REF!+#REF!+#REF!+#REF!+#REF!+#REF!+#REF!+#REF!+#REF!+#REF!+#REF!+#REF!+#REF!+#REF!+#REF!+#REF!+#REF!+'01.10.19'!D20</f>
        <v>#REF!</v>
      </c>
      <c r="E20" s="6" t="e">
        <f>#REF!+#REF!+#REF!+#REF!+#REF!+#REF!+#REF!+#REF!+#REF!+#REF!+#REF!+#REF!+#REF!+#REF!+#REF!+#REF!+#REF!+#REF!+#REF!+#REF!+#REF!+#REF!+#REF!+#REF!+#REF!+#REF!+#REF!+#REF!+#REF!+'01.10.19'!E20</f>
        <v>#REF!</v>
      </c>
      <c r="F20" s="6" t="e">
        <f>#REF!+#REF!+#REF!+#REF!+#REF!+#REF!+#REF!+#REF!+#REF!+#REF!+#REF!+#REF!+#REF!+#REF!+#REF!+#REF!+#REF!+#REF!+#REF!+#REF!+#REF!+#REF!+#REF!+#REF!+#REF!+#REF!+#REF!+#REF!+#REF!+'01.10.19'!F20</f>
        <v>#REF!</v>
      </c>
      <c r="G20" s="6" t="e">
        <f>#REF!+#REF!+#REF!+#REF!+#REF!+#REF!+#REF!+#REF!+#REF!+#REF!+#REF!+#REF!+#REF!+#REF!+#REF!+#REF!+#REF!+#REF!+#REF!+#REF!+#REF!+#REF!+#REF!+#REF!+#REF!+#REF!+#REF!+#REF!+#REF!+'01.10.19'!G20</f>
        <v>#REF!</v>
      </c>
      <c r="H20" s="6" t="e">
        <f>#REF!+#REF!+#REF!+#REF!+#REF!+#REF!+#REF!+#REF!+#REF!+#REF!+#REF!+#REF!+#REF!+#REF!+#REF!+#REF!+#REF!+#REF!+#REF!+#REF!+#REF!+#REF!+#REF!+#REF!+#REF!+#REF!+#REF!+#REF!+#REF!+'01.10.19'!H20</f>
        <v>#REF!</v>
      </c>
      <c r="I20" s="6" t="e">
        <f>#REF!+#REF!+#REF!+#REF!+#REF!+#REF!+#REF!+#REF!+#REF!+#REF!+#REF!+#REF!+#REF!+#REF!+#REF!+#REF!+#REF!+#REF!+#REF!+#REF!+#REF!+#REF!+#REF!+#REF!+#REF!+#REF!+#REF!+#REF!+#REF!+'01.10.19'!I20</f>
        <v>#REF!</v>
      </c>
      <c r="J20" s="6" t="e">
        <f>#REF!+#REF!+#REF!+#REF!+#REF!+#REF!+#REF!+#REF!+#REF!+#REF!+#REF!+#REF!+#REF!+#REF!+#REF!+#REF!+#REF!+#REF!+#REF!+#REF!+#REF!+#REF!+#REF!+#REF!+#REF!+#REF!+#REF!+#REF!+#REF!+'01.10.19'!J20</f>
        <v>#REF!</v>
      </c>
      <c r="K20" s="6" t="e">
        <f>#REF!+#REF!+#REF!+#REF!+#REF!+#REF!+#REF!+#REF!+#REF!+#REF!+#REF!+#REF!+#REF!+#REF!+#REF!+#REF!+#REF!+#REF!+#REF!+#REF!+#REF!+#REF!+#REF!+#REF!+#REF!+#REF!+#REF!+#REF!+#REF!+'01.10.19'!K20</f>
        <v>#REF!</v>
      </c>
      <c r="L20" s="6" t="e">
        <f>#REF!+#REF!+#REF!+#REF!+#REF!+#REF!+#REF!+#REF!+#REF!+#REF!+#REF!+#REF!+#REF!+#REF!+#REF!+#REF!+#REF!+#REF!+#REF!+#REF!+#REF!+#REF!+#REF!+#REF!+#REF!+#REF!+#REF!+#REF!+#REF!+'01.10.19'!L20</f>
        <v>#REF!</v>
      </c>
      <c r="M20" s="6" t="e">
        <f>#REF!+#REF!+#REF!+#REF!+#REF!+#REF!+#REF!+#REF!+#REF!+#REF!+#REF!+#REF!+#REF!+#REF!+#REF!+#REF!+#REF!+#REF!+#REF!+#REF!+#REF!+#REF!+#REF!+#REF!+#REF!+#REF!+#REF!+#REF!+#REF!+'01.10.19'!M20</f>
        <v>#REF!</v>
      </c>
      <c r="N20" s="6" t="e">
        <f>#REF!+#REF!+#REF!+#REF!+#REF!+#REF!+#REF!+#REF!+#REF!+#REF!+#REF!+#REF!+#REF!+#REF!+#REF!+#REF!+#REF!+#REF!+#REF!+#REF!+#REF!+#REF!+#REF!+#REF!+#REF!+#REF!+#REF!+#REF!+#REF!+'01.10.19'!N20</f>
        <v>#REF!</v>
      </c>
      <c r="O20" s="6" t="e">
        <f>#REF!+#REF!+#REF!+#REF!+#REF!+#REF!+#REF!+#REF!+#REF!+#REF!+#REF!+#REF!+#REF!+#REF!+#REF!+#REF!+#REF!+#REF!+#REF!+#REF!+#REF!+#REF!+#REF!+#REF!+#REF!+#REF!+#REF!+#REF!+#REF!+'01.10.19'!O20</f>
        <v>#REF!</v>
      </c>
      <c r="P20" s="6" t="e">
        <f>#REF!+#REF!+#REF!+#REF!+#REF!+#REF!+#REF!+#REF!+#REF!+#REF!+#REF!+#REF!+#REF!+#REF!+#REF!+#REF!+#REF!+#REF!+#REF!+#REF!+#REF!+#REF!+#REF!+#REF!+#REF!+#REF!+#REF!+#REF!+#REF!+'01.10.19'!P20</f>
        <v>#REF!</v>
      </c>
      <c r="Q20" s="7" t="e">
        <f t="shared" si="0"/>
        <v>#REF!</v>
      </c>
      <c r="R20" s="6" t="e">
        <f>#REF!+#REF!+#REF!+#REF!+#REF!+#REF!+#REF!+#REF!+#REF!+#REF!+#REF!+#REF!+#REF!+#REF!+#REF!+#REF!+#REF!+#REF!+#REF!+#REF!+#REF!+#REF!+#REF!+#REF!+#REF!+#REF!+#REF!+#REF!+#REF!+'01.10.19'!R20</f>
        <v>#REF!</v>
      </c>
      <c r="S20" s="6" t="e">
        <f t="shared" si="1"/>
        <v>#REF!</v>
      </c>
      <c r="T20" s="6">
        <v>-1535</v>
      </c>
      <c r="U20" s="6" t="e">
        <f t="shared" si="2"/>
        <v>#REF!</v>
      </c>
      <c r="V20" s="7"/>
      <c r="W20" s="57"/>
      <c r="X20" s="46"/>
      <c r="Y20" s="61"/>
      <c r="Z20" s="66"/>
      <c r="AA20" s="61"/>
      <c r="AB20" s="67"/>
      <c r="AC20" s="61"/>
      <c r="AD20" s="66"/>
      <c r="AE20" s="61"/>
      <c r="AF20" s="52">
        <f t="shared" si="3"/>
        <v>0</v>
      </c>
      <c r="AG20" s="46" t="e">
        <f t="shared" si="4"/>
        <v>#REF!</v>
      </c>
      <c r="AH20" s="51" t="e">
        <f t="shared" si="5"/>
        <v>#REF!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/>
      <c r="D21" s="6" t="e">
        <f>#REF!+#REF!+#REF!+#REF!+#REF!+#REF!+#REF!+#REF!+#REF!+#REF!+#REF!+#REF!+#REF!+#REF!+#REF!+#REF!+#REF!+#REF!+#REF!+#REF!+#REF!+#REF!+#REF!+#REF!+#REF!+#REF!+#REF!+#REF!+#REF!+'01.10.19'!D21</f>
        <v>#REF!</v>
      </c>
      <c r="E21" s="6" t="e">
        <f>#REF!+#REF!+#REF!+#REF!+#REF!+#REF!+#REF!+#REF!+#REF!+#REF!+#REF!+#REF!+#REF!+#REF!+#REF!+#REF!+#REF!+#REF!+#REF!+#REF!+#REF!+#REF!+#REF!+#REF!+#REF!+#REF!+#REF!+#REF!+#REF!+'01.10.19'!E21</f>
        <v>#REF!</v>
      </c>
      <c r="F21" s="6" t="e">
        <f>#REF!+#REF!+#REF!+#REF!+#REF!+#REF!+#REF!+#REF!+#REF!+#REF!+#REF!+#REF!+#REF!+#REF!+#REF!+#REF!+#REF!+#REF!+#REF!+#REF!+#REF!+#REF!+#REF!+#REF!+#REF!+#REF!+#REF!+#REF!+#REF!+'01.10.19'!F21</f>
        <v>#REF!</v>
      </c>
      <c r="G21" s="6" t="e">
        <f>#REF!+#REF!+#REF!+#REF!+#REF!+#REF!+#REF!+#REF!+#REF!+#REF!+#REF!+#REF!+#REF!+#REF!+#REF!+#REF!+#REF!+#REF!+#REF!+#REF!+#REF!+#REF!+#REF!+#REF!+#REF!+#REF!+#REF!+#REF!+#REF!+'01.10.19'!G21</f>
        <v>#REF!</v>
      </c>
      <c r="H21" s="6" t="e">
        <f>#REF!+#REF!+#REF!+#REF!+#REF!+#REF!+#REF!+#REF!+#REF!+#REF!+#REF!+#REF!+#REF!+#REF!+#REF!+#REF!+#REF!+#REF!+#REF!+#REF!+#REF!+#REF!+#REF!+#REF!+#REF!+#REF!+#REF!+#REF!+#REF!+'01.10.19'!H21</f>
        <v>#REF!</v>
      </c>
      <c r="I21" s="6" t="e">
        <f>#REF!+#REF!+#REF!+#REF!+#REF!+#REF!+#REF!+#REF!+#REF!+#REF!+#REF!+#REF!+#REF!+#REF!+#REF!+#REF!+#REF!+#REF!+#REF!+#REF!+#REF!+#REF!+#REF!+#REF!+#REF!+#REF!+#REF!+#REF!+#REF!+'01.10.19'!I21</f>
        <v>#REF!</v>
      </c>
      <c r="J21" s="6" t="e">
        <f>#REF!+#REF!+#REF!+#REF!+#REF!+#REF!+#REF!+#REF!+#REF!+#REF!+#REF!+#REF!+#REF!+#REF!+#REF!+#REF!+#REF!+#REF!+#REF!+#REF!+#REF!+#REF!+#REF!+#REF!+#REF!+#REF!+#REF!+#REF!+#REF!+'01.10.19'!J21</f>
        <v>#REF!</v>
      </c>
      <c r="K21" s="6" t="e">
        <f>#REF!+#REF!+#REF!+#REF!+#REF!+#REF!+#REF!+#REF!+#REF!+#REF!+#REF!+#REF!+#REF!+#REF!+#REF!+#REF!+#REF!+#REF!+#REF!+#REF!+#REF!+#REF!+#REF!+#REF!+#REF!+#REF!+#REF!+#REF!+#REF!+'01.10.19'!K21</f>
        <v>#REF!</v>
      </c>
      <c r="L21" s="6" t="e">
        <f>#REF!+#REF!+#REF!+#REF!+#REF!+#REF!+#REF!+#REF!+#REF!+#REF!+#REF!+#REF!+#REF!+#REF!+#REF!+#REF!+#REF!+#REF!+#REF!+#REF!+#REF!+#REF!+#REF!+#REF!+#REF!+#REF!+#REF!+#REF!+#REF!+'01.10.19'!L21</f>
        <v>#REF!</v>
      </c>
      <c r="M21" s="6" t="e">
        <f>#REF!+#REF!+#REF!+#REF!+#REF!+#REF!+#REF!+#REF!+#REF!+#REF!+#REF!+#REF!+#REF!+#REF!+#REF!+#REF!+#REF!+#REF!+#REF!+#REF!+#REF!+#REF!+#REF!+#REF!+#REF!+#REF!+#REF!+#REF!+#REF!+'01.10.19'!M21</f>
        <v>#REF!</v>
      </c>
      <c r="N21" s="6" t="e">
        <f>#REF!+#REF!+#REF!+#REF!+#REF!+#REF!+#REF!+#REF!+#REF!+#REF!+#REF!+#REF!+#REF!+#REF!+#REF!+#REF!+#REF!+#REF!+#REF!+#REF!+#REF!+#REF!+#REF!+#REF!+#REF!+#REF!+#REF!+#REF!+#REF!+'01.10.19'!N21</f>
        <v>#REF!</v>
      </c>
      <c r="O21" s="6" t="e">
        <f>#REF!+#REF!+#REF!+#REF!+#REF!+#REF!+#REF!+#REF!+#REF!+#REF!+#REF!+#REF!+#REF!+#REF!+#REF!+#REF!+#REF!+#REF!+#REF!+#REF!+#REF!+#REF!+#REF!+#REF!+#REF!+#REF!+#REF!+#REF!+#REF!+'01.10.19'!O21</f>
        <v>#REF!</v>
      </c>
      <c r="P21" s="6" t="e">
        <f>#REF!+#REF!+#REF!+#REF!+#REF!+#REF!+#REF!+#REF!+#REF!+#REF!+#REF!+#REF!+#REF!+#REF!+#REF!+#REF!+#REF!+#REF!+#REF!+#REF!+#REF!+#REF!+#REF!+#REF!+#REF!+#REF!+#REF!+#REF!+#REF!+'01.10.19'!P21</f>
        <v>#REF!</v>
      </c>
      <c r="Q21" s="7" t="e">
        <f t="shared" si="0"/>
        <v>#REF!</v>
      </c>
      <c r="R21" s="6" t="e">
        <f>#REF!+#REF!+#REF!+#REF!+#REF!+#REF!+#REF!+#REF!+#REF!+#REF!+#REF!+#REF!+#REF!+#REF!+#REF!+#REF!+#REF!+#REF!+#REF!+#REF!+#REF!+#REF!+#REF!+#REF!+#REF!+#REF!+#REF!+#REF!+#REF!+'01.10.19'!R21</f>
        <v>#REF!</v>
      </c>
      <c r="S21" s="6" t="e">
        <f t="shared" si="1"/>
        <v>#REF!</v>
      </c>
      <c r="T21" s="6">
        <v>0</v>
      </c>
      <c r="U21" s="6" t="e">
        <f t="shared" si="2"/>
        <v>#REF!</v>
      </c>
      <c r="V21" s="86">
        <v>60</v>
      </c>
      <c r="W21" s="57"/>
      <c r="X21" s="46"/>
      <c r="Y21" s="61"/>
      <c r="Z21" s="66"/>
      <c r="AA21" s="61"/>
      <c r="AB21" s="67"/>
      <c r="AC21" s="61"/>
      <c r="AD21" s="66"/>
      <c r="AE21" s="61"/>
      <c r="AF21" s="52">
        <f t="shared" si="3"/>
        <v>0</v>
      </c>
      <c r="AG21" s="46" t="e">
        <f t="shared" si="4"/>
        <v>#REF!</v>
      </c>
      <c r="AH21" s="51" t="e">
        <f t="shared" si="5"/>
        <v>#REF!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/>
      <c r="D22" s="6" t="e">
        <f>#REF!+#REF!+#REF!+#REF!+#REF!+#REF!+#REF!+#REF!+#REF!+#REF!+#REF!+#REF!+#REF!+#REF!+#REF!+#REF!+#REF!+#REF!+#REF!+#REF!+#REF!+#REF!+#REF!+#REF!+#REF!+#REF!+#REF!+#REF!+#REF!+'01.10.19'!D22</f>
        <v>#REF!</v>
      </c>
      <c r="E22" s="6" t="e">
        <f>#REF!+#REF!+#REF!+#REF!+#REF!+#REF!+#REF!+#REF!+#REF!+#REF!+#REF!+#REF!+#REF!+#REF!+#REF!+#REF!+#REF!+#REF!+#REF!+#REF!+#REF!+#REF!+#REF!+#REF!+#REF!+#REF!+#REF!+#REF!+#REF!+'01.10.19'!E22</f>
        <v>#REF!</v>
      </c>
      <c r="F22" s="6" t="e">
        <f>#REF!+#REF!+#REF!+#REF!+#REF!+#REF!+#REF!+#REF!+#REF!+#REF!+#REF!+#REF!+#REF!+#REF!+#REF!+#REF!+#REF!+#REF!+#REF!+#REF!+#REF!+#REF!+#REF!+#REF!+#REF!+#REF!+#REF!+#REF!+#REF!+'01.10.19'!F22</f>
        <v>#REF!</v>
      </c>
      <c r="G22" s="6" t="e">
        <f>#REF!+#REF!+#REF!+#REF!+#REF!+#REF!+#REF!+#REF!+#REF!+#REF!+#REF!+#REF!+#REF!+#REF!+#REF!+#REF!+#REF!+#REF!+#REF!+#REF!+#REF!+#REF!+#REF!+#REF!+#REF!+#REF!+#REF!+#REF!+#REF!+'01.10.19'!G22</f>
        <v>#REF!</v>
      </c>
      <c r="H22" s="6" t="e">
        <f>#REF!+#REF!+#REF!+#REF!+#REF!+#REF!+#REF!+#REF!+#REF!+#REF!+#REF!+#REF!+#REF!+#REF!+#REF!+#REF!+#REF!+#REF!+#REF!+#REF!+#REF!+#REF!+#REF!+#REF!+#REF!+#REF!+#REF!+#REF!+#REF!+'01.10.19'!H22</f>
        <v>#REF!</v>
      </c>
      <c r="I22" s="6" t="e">
        <f>#REF!+#REF!+#REF!+#REF!+#REF!+#REF!+#REF!+#REF!+#REF!+#REF!+#REF!+#REF!+#REF!+#REF!+#REF!+#REF!+#REF!+#REF!+#REF!+#REF!+#REF!+#REF!+#REF!+#REF!+#REF!+#REF!+#REF!+#REF!+#REF!+'01.10.19'!I22</f>
        <v>#REF!</v>
      </c>
      <c r="J22" s="6" t="e">
        <f>#REF!+#REF!+#REF!+#REF!+#REF!+#REF!+#REF!+#REF!+#REF!+#REF!+#REF!+#REF!+#REF!+#REF!+#REF!+#REF!+#REF!+#REF!+#REF!+#REF!+#REF!+#REF!+#REF!+#REF!+#REF!+#REF!+#REF!+#REF!+#REF!+'01.10.19'!J22</f>
        <v>#REF!</v>
      </c>
      <c r="K22" s="6" t="e">
        <f>#REF!+#REF!+#REF!+#REF!+#REF!+#REF!+#REF!+#REF!+#REF!+#REF!+#REF!+#REF!+#REF!+#REF!+#REF!+#REF!+#REF!+#REF!+#REF!+#REF!+#REF!+#REF!+#REF!+#REF!+#REF!+#REF!+#REF!+#REF!+#REF!+'01.10.19'!K22</f>
        <v>#REF!</v>
      </c>
      <c r="L22" s="6" t="e">
        <f>#REF!+#REF!+#REF!+#REF!+#REF!+#REF!+#REF!+#REF!+#REF!+#REF!+#REF!+#REF!+#REF!+#REF!+#REF!+#REF!+#REF!+#REF!+#REF!+#REF!+#REF!+#REF!+#REF!+#REF!+#REF!+#REF!+#REF!+#REF!+#REF!+'01.10.19'!L22</f>
        <v>#REF!</v>
      </c>
      <c r="M22" s="6" t="e">
        <f>#REF!+#REF!+#REF!+#REF!+#REF!+#REF!+#REF!+#REF!+#REF!+#REF!+#REF!+#REF!+#REF!+#REF!+#REF!+#REF!+#REF!+#REF!+#REF!+#REF!+#REF!+#REF!+#REF!+#REF!+#REF!+#REF!+#REF!+#REF!+#REF!+'01.10.19'!M22</f>
        <v>#REF!</v>
      </c>
      <c r="N22" s="6" t="e">
        <f>#REF!+#REF!+#REF!+#REF!+#REF!+#REF!+#REF!+#REF!+#REF!+#REF!+#REF!+#REF!+#REF!+#REF!+#REF!+#REF!+#REF!+#REF!+#REF!+#REF!+#REF!+#REF!+#REF!+#REF!+#REF!+#REF!+#REF!+#REF!+#REF!+'01.10.19'!N22</f>
        <v>#REF!</v>
      </c>
      <c r="O22" s="6" t="e">
        <f>#REF!+#REF!+#REF!+#REF!+#REF!+#REF!+#REF!+#REF!+#REF!+#REF!+#REF!+#REF!+#REF!+#REF!+#REF!+#REF!+#REF!+#REF!+#REF!+#REF!+#REF!+#REF!+#REF!+#REF!+#REF!+#REF!+#REF!+#REF!+#REF!+'01.10.19'!O22</f>
        <v>#REF!</v>
      </c>
      <c r="P22" s="6" t="e">
        <f>#REF!+#REF!+#REF!+#REF!+#REF!+#REF!+#REF!+#REF!+#REF!+#REF!+#REF!+#REF!+#REF!+#REF!+#REF!+#REF!+#REF!+#REF!+#REF!+#REF!+#REF!+#REF!+#REF!+#REF!+#REF!+#REF!+#REF!+#REF!+#REF!+'01.10.19'!P22</f>
        <v>#REF!</v>
      </c>
      <c r="Q22" s="7" t="e">
        <f t="shared" si="0"/>
        <v>#REF!</v>
      </c>
      <c r="R22" s="6" t="e">
        <f>#REF!+#REF!+#REF!+#REF!+#REF!+#REF!+#REF!+#REF!+#REF!+#REF!+#REF!+#REF!+#REF!+#REF!+#REF!+#REF!+#REF!+#REF!+#REF!+#REF!+#REF!+#REF!+#REF!+#REF!+#REF!+#REF!+#REF!+#REF!+#REF!+'01.10.19'!R22</f>
        <v>#REF!</v>
      </c>
      <c r="S22" s="6" t="e">
        <f t="shared" si="1"/>
        <v>#REF!</v>
      </c>
      <c r="T22" s="6">
        <v>-120</v>
      </c>
      <c r="U22" s="6" t="e">
        <f t="shared" si="2"/>
        <v>#REF!</v>
      </c>
      <c r="V22" s="86"/>
      <c r="W22" s="57"/>
      <c r="X22" s="46"/>
      <c r="Y22" s="61"/>
      <c r="Z22" s="66"/>
      <c r="AA22" s="61"/>
      <c r="AB22" s="67"/>
      <c r="AC22" s="61"/>
      <c r="AD22" s="66"/>
      <c r="AE22" s="61"/>
      <c r="AF22" s="52">
        <f t="shared" si="3"/>
        <v>0</v>
      </c>
      <c r="AG22" s="46" t="e">
        <f t="shared" si="4"/>
        <v>#REF!</v>
      </c>
      <c r="AH22" s="51" t="e">
        <f t="shared" si="5"/>
        <v>#REF!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/>
      <c r="D23" s="6" t="e">
        <f>#REF!+#REF!+#REF!+#REF!+#REF!+#REF!+#REF!+#REF!+#REF!+#REF!+#REF!+#REF!+#REF!+#REF!+#REF!+#REF!+#REF!+#REF!+#REF!+#REF!+#REF!+#REF!+#REF!+#REF!+#REF!+#REF!+#REF!+#REF!+#REF!+'01.10.19'!D23</f>
        <v>#REF!</v>
      </c>
      <c r="E23" s="6" t="e">
        <f>#REF!+#REF!+#REF!+#REF!+#REF!+#REF!+#REF!+#REF!+#REF!+#REF!+#REF!+#REF!+#REF!+#REF!+#REF!+#REF!+#REF!+#REF!+#REF!+#REF!+#REF!+#REF!+#REF!+#REF!+#REF!+#REF!+#REF!+#REF!+#REF!+'01.10.19'!E23</f>
        <v>#REF!</v>
      </c>
      <c r="F23" s="6" t="e">
        <f>#REF!+#REF!+#REF!+#REF!+#REF!+#REF!+#REF!+#REF!+#REF!+#REF!+#REF!+#REF!+#REF!+#REF!+#REF!+#REF!+#REF!+#REF!+#REF!+#REF!+#REF!+#REF!+#REF!+#REF!+#REF!+#REF!+#REF!+#REF!+#REF!+'01.10.19'!F23</f>
        <v>#REF!</v>
      </c>
      <c r="G23" s="6" t="e">
        <f>#REF!+#REF!+#REF!+#REF!+#REF!+#REF!+#REF!+#REF!+#REF!+#REF!+#REF!+#REF!+#REF!+#REF!+#REF!+#REF!+#REF!+#REF!+#REF!+#REF!+#REF!+#REF!+#REF!+#REF!+#REF!+#REF!+#REF!+#REF!+#REF!+'01.10.19'!G23</f>
        <v>#REF!</v>
      </c>
      <c r="H23" s="6" t="e">
        <f>#REF!+#REF!+#REF!+#REF!+#REF!+#REF!+#REF!+#REF!+#REF!+#REF!+#REF!+#REF!+#REF!+#REF!+#REF!+#REF!+#REF!+#REF!+#REF!+#REF!+#REF!+#REF!+#REF!+#REF!+#REF!+#REF!+#REF!+#REF!+#REF!+'01.10.19'!H23</f>
        <v>#REF!</v>
      </c>
      <c r="I23" s="6" t="e">
        <f>#REF!+#REF!+#REF!+#REF!+#REF!+#REF!+#REF!+#REF!+#REF!+#REF!+#REF!+#REF!+#REF!+#REF!+#REF!+#REF!+#REF!+#REF!+#REF!+#REF!+#REF!+#REF!+#REF!+#REF!+#REF!+#REF!+#REF!+#REF!+#REF!+'01.10.19'!I23</f>
        <v>#REF!</v>
      </c>
      <c r="J23" s="6" t="e">
        <f>#REF!+#REF!+#REF!+#REF!+#REF!+#REF!+#REF!+#REF!+#REF!+#REF!+#REF!+#REF!+#REF!+#REF!+#REF!+#REF!+#REF!+#REF!+#REF!+#REF!+#REF!+#REF!+#REF!+#REF!+#REF!+#REF!+#REF!+#REF!+#REF!+'01.10.19'!J23</f>
        <v>#REF!</v>
      </c>
      <c r="K23" s="6" t="e">
        <f>#REF!+#REF!+#REF!+#REF!+#REF!+#REF!+#REF!+#REF!+#REF!+#REF!+#REF!+#REF!+#REF!+#REF!+#REF!+#REF!+#REF!+#REF!+#REF!+#REF!+#REF!+#REF!+#REF!+#REF!+#REF!+#REF!+#REF!+#REF!+#REF!+'01.10.19'!K23</f>
        <v>#REF!</v>
      </c>
      <c r="L23" s="6" t="e">
        <f>#REF!+#REF!+#REF!+#REF!+#REF!+#REF!+#REF!+#REF!+#REF!+#REF!+#REF!+#REF!+#REF!+#REF!+#REF!+#REF!+#REF!+#REF!+#REF!+#REF!+#REF!+#REF!+#REF!+#REF!+#REF!+#REF!+#REF!+#REF!+#REF!+'01.10.19'!L23</f>
        <v>#REF!</v>
      </c>
      <c r="M23" s="6" t="e">
        <f>#REF!+#REF!+#REF!+#REF!+#REF!+#REF!+#REF!+#REF!+#REF!+#REF!+#REF!+#REF!+#REF!+#REF!+#REF!+#REF!+#REF!+#REF!+#REF!+#REF!+#REF!+#REF!+#REF!+#REF!+#REF!+#REF!+#REF!+#REF!+#REF!+'01.10.19'!M23</f>
        <v>#REF!</v>
      </c>
      <c r="N23" s="6" t="e">
        <f>#REF!+#REF!+#REF!+#REF!+#REF!+#REF!+#REF!+#REF!+#REF!+#REF!+#REF!+#REF!+#REF!+#REF!+#REF!+#REF!+#REF!+#REF!+#REF!+#REF!+#REF!+#REF!+#REF!+#REF!+#REF!+#REF!+#REF!+#REF!+#REF!+'01.10.19'!N23</f>
        <v>#REF!</v>
      </c>
      <c r="O23" s="6" t="e">
        <f>#REF!+#REF!+#REF!+#REF!+#REF!+#REF!+#REF!+#REF!+#REF!+#REF!+#REF!+#REF!+#REF!+#REF!+#REF!+#REF!+#REF!+#REF!+#REF!+#REF!+#REF!+#REF!+#REF!+#REF!+#REF!+#REF!+#REF!+#REF!+#REF!+'01.10.19'!O23</f>
        <v>#REF!</v>
      </c>
      <c r="P23" s="6" t="e">
        <f>#REF!+#REF!+#REF!+#REF!+#REF!+#REF!+#REF!+#REF!+#REF!+#REF!+#REF!+#REF!+#REF!+#REF!+#REF!+#REF!+#REF!+#REF!+#REF!+#REF!+#REF!+#REF!+#REF!+#REF!+#REF!+#REF!+#REF!+#REF!+#REF!+'01.10.19'!P23</f>
        <v>#REF!</v>
      </c>
      <c r="Q23" s="7" t="e">
        <f t="shared" si="0"/>
        <v>#REF!</v>
      </c>
      <c r="R23" s="6" t="e">
        <f>#REF!+#REF!+#REF!+#REF!+#REF!+#REF!+#REF!+#REF!+#REF!+#REF!+#REF!+#REF!+#REF!+#REF!+#REF!+#REF!+#REF!+#REF!+#REF!+#REF!+#REF!+#REF!+#REF!+#REF!+#REF!+#REF!+#REF!+#REF!+#REF!+'01.10.19'!R23</f>
        <v>#REF!</v>
      </c>
      <c r="S23" s="6" t="e">
        <f t="shared" si="1"/>
        <v>#REF!</v>
      </c>
      <c r="T23" s="6">
        <v>-1660</v>
      </c>
      <c r="U23" s="6" t="e">
        <f t="shared" si="2"/>
        <v>#REF!</v>
      </c>
      <c r="V23" s="86"/>
      <c r="W23" s="57"/>
      <c r="X23" s="46"/>
      <c r="Y23" s="61"/>
      <c r="Z23" s="66"/>
      <c r="AA23" s="61"/>
      <c r="AB23" s="67"/>
      <c r="AC23" s="61"/>
      <c r="AD23" s="66"/>
      <c r="AE23" s="61"/>
      <c r="AF23" s="52">
        <f t="shared" si="3"/>
        <v>0</v>
      </c>
      <c r="AG23" s="46" t="e">
        <f t="shared" si="4"/>
        <v>#REF!</v>
      </c>
      <c r="AH23" s="51" t="e">
        <f t="shared" si="5"/>
        <v>#REF!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/>
      <c r="D24" s="6" t="e">
        <f>#REF!+#REF!+#REF!+#REF!+#REF!+#REF!+#REF!+#REF!+#REF!+#REF!+#REF!+#REF!+#REF!+#REF!+#REF!+#REF!+#REF!+#REF!+#REF!+#REF!+#REF!+#REF!+#REF!+#REF!+#REF!+#REF!+#REF!+#REF!+#REF!+'01.10.19'!D24</f>
        <v>#REF!</v>
      </c>
      <c r="E24" s="6" t="e">
        <f>#REF!+#REF!+#REF!+#REF!+#REF!+#REF!+#REF!+#REF!+#REF!+#REF!+#REF!+#REF!+#REF!+#REF!+#REF!+#REF!+#REF!+#REF!+#REF!+#REF!+#REF!+#REF!+#REF!+#REF!+#REF!+#REF!+#REF!+#REF!+#REF!+'01.10.19'!E24</f>
        <v>#REF!</v>
      </c>
      <c r="F24" s="6" t="e">
        <f>#REF!+#REF!+#REF!+#REF!+#REF!+#REF!+#REF!+#REF!+#REF!+#REF!+#REF!+#REF!+#REF!+#REF!+#REF!+#REF!+#REF!+#REF!+#REF!+#REF!+#REF!+#REF!+#REF!+#REF!+#REF!+#REF!+#REF!+#REF!+#REF!+'01.10.19'!F24</f>
        <v>#REF!</v>
      </c>
      <c r="G24" s="6" t="e">
        <f>#REF!+#REF!+#REF!+#REF!+#REF!+#REF!+#REF!+#REF!+#REF!+#REF!+#REF!+#REF!+#REF!+#REF!+#REF!+#REF!+#REF!+#REF!+#REF!+#REF!+#REF!+#REF!+#REF!+#REF!+#REF!+#REF!+#REF!+#REF!+#REF!+'01.10.19'!G24</f>
        <v>#REF!</v>
      </c>
      <c r="H24" s="6" t="e">
        <f>#REF!+#REF!+#REF!+#REF!+#REF!+#REF!+#REF!+#REF!+#REF!+#REF!+#REF!+#REF!+#REF!+#REF!+#REF!+#REF!+#REF!+#REF!+#REF!+#REF!+#REF!+#REF!+#REF!+#REF!+#REF!+#REF!+#REF!+#REF!+#REF!+'01.10.19'!H24</f>
        <v>#REF!</v>
      </c>
      <c r="I24" s="6" t="e">
        <f>#REF!+#REF!+#REF!+#REF!+#REF!+#REF!+#REF!+#REF!+#REF!+#REF!+#REF!+#REF!+#REF!+#REF!+#REF!+#REF!+#REF!+#REF!+#REF!+#REF!+#REF!+#REF!+#REF!+#REF!+#REF!+#REF!+#REF!+#REF!+#REF!+'01.10.19'!I24</f>
        <v>#REF!</v>
      </c>
      <c r="J24" s="6" t="e">
        <f>#REF!+#REF!+#REF!+#REF!+#REF!+#REF!+#REF!+#REF!+#REF!+#REF!+#REF!+#REF!+#REF!+#REF!+#REF!+#REF!+#REF!+#REF!+#REF!+#REF!+#REF!+#REF!+#REF!+#REF!+#REF!+#REF!+#REF!+#REF!+#REF!+'01.10.19'!J24</f>
        <v>#REF!</v>
      </c>
      <c r="K24" s="6" t="e">
        <f>#REF!+#REF!+#REF!+#REF!+#REF!+#REF!+#REF!+#REF!+#REF!+#REF!+#REF!+#REF!+#REF!+#REF!+#REF!+#REF!+#REF!+#REF!+#REF!+#REF!+#REF!+#REF!+#REF!+#REF!+#REF!+#REF!+#REF!+#REF!+#REF!+'01.10.19'!K24</f>
        <v>#REF!</v>
      </c>
      <c r="L24" s="6" t="e">
        <f>#REF!+#REF!+#REF!+#REF!+#REF!+#REF!+#REF!+#REF!+#REF!+#REF!+#REF!+#REF!+#REF!+#REF!+#REF!+#REF!+#REF!+#REF!+#REF!+#REF!+#REF!+#REF!+#REF!+#REF!+#REF!+#REF!+#REF!+#REF!+#REF!+'01.10.19'!L24</f>
        <v>#REF!</v>
      </c>
      <c r="M24" s="6" t="e">
        <f>#REF!+#REF!+#REF!+#REF!+#REF!+#REF!+#REF!+#REF!+#REF!+#REF!+#REF!+#REF!+#REF!+#REF!+#REF!+#REF!+#REF!+#REF!+#REF!+#REF!+#REF!+#REF!+#REF!+#REF!+#REF!+#REF!+#REF!+#REF!+#REF!+'01.10.19'!M24</f>
        <v>#REF!</v>
      </c>
      <c r="N24" s="6" t="e">
        <f>#REF!+#REF!+#REF!+#REF!+#REF!+#REF!+#REF!+#REF!+#REF!+#REF!+#REF!+#REF!+#REF!+#REF!+#REF!+#REF!+#REF!+#REF!+#REF!+#REF!+#REF!+#REF!+#REF!+#REF!+#REF!+#REF!+#REF!+#REF!+#REF!+'01.10.19'!N24</f>
        <v>#REF!</v>
      </c>
      <c r="O24" s="6" t="e">
        <f>#REF!+#REF!+#REF!+#REF!+#REF!+#REF!+#REF!+#REF!+#REF!+#REF!+#REF!+#REF!+#REF!+#REF!+#REF!+#REF!+#REF!+#REF!+#REF!+#REF!+#REF!+#REF!+#REF!+#REF!+#REF!+#REF!+#REF!+#REF!+#REF!+'01.10.19'!O24</f>
        <v>#REF!</v>
      </c>
      <c r="P24" s="6" t="e">
        <f>#REF!+#REF!+#REF!+#REF!+#REF!+#REF!+#REF!+#REF!+#REF!+#REF!+#REF!+#REF!+#REF!+#REF!+#REF!+#REF!+#REF!+#REF!+#REF!+#REF!+#REF!+#REF!+#REF!+#REF!+#REF!+#REF!+#REF!+#REF!+#REF!+'01.10.19'!P24</f>
        <v>#REF!</v>
      </c>
      <c r="Q24" s="7" t="e">
        <f t="shared" si="0"/>
        <v>#REF!</v>
      </c>
      <c r="R24" s="6" t="e">
        <f>#REF!+#REF!+#REF!+#REF!+#REF!+#REF!+#REF!+#REF!+#REF!+#REF!+#REF!+#REF!+#REF!+#REF!+#REF!+#REF!+#REF!+#REF!+#REF!+#REF!+#REF!+#REF!+#REF!+#REF!+#REF!+#REF!+#REF!+#REF!+#REF!+'01.10.19'!R24</f>
        <v>#REF!</v>
      </c>
      <c r="S24" s="6" t="e">
        <f t="shared" si="1"/>
        <v>#REF!</v>
      </c>
      <c r="T24" s="6">
        <v>4000</v>
      </c>
      <c r="U24" s="6" t="e">
        <f t="shared" si="2"/>
        <v>#REF!</v>
      </c>
      <c r="V24" s="86"/>
      <c r="W24" s="57"/>
      <c r="X24" s="46"/>
      <c r="Y24" s="61"/>
      <c r="Z24" s="66"/>
      <c r="AA24" s="61"/>
      <c r="AB24" s="67"/>
      <c r="AC24" s="61"/>
      <c r="AD24" s="66"/>
      <c r="AE24" s="61"/>
      <c r="AF24" s="52">
        <f t="shared" si="3"/>
        <v>0</v>
      </c>
      <c r="AG24" s="46" t="e">
        <f t="shared" si="4"/>
        <v>#REF!</v>
      </c>
      <c r="AH24" s="51" t="e">
        <f t="shared" si="5"/>
        <v>#REF!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/>
      <c r="D25" s="6" t="e">
        <f>#REF!+#REF!+#REF!+#REF!+#REF!+#REF!+#REF!+#REF!+#REF!+#REF!+#REF!+#REF!+#REF!+#REF!+#REF!+#REF!+#REF!+#REF!+#REF!+#REF!+#REF!+#REF!+#REF!+#REF!+#REF!+#REF!+#REF!+#REF!+#REF!+'01.10.19'!D25</f>
        <v>#REF!</v>
      </c>
      <c r="E25" s="6" t="e">
        <f>#REF!+#REF!+#REF!+#REF!+#REF!+#REF!+#REF!+#REF!+#REF!+#REF!+#REF!+#REF!+#REF!+#REF!+#REF!+#REF!+#REF!+#REF!+#REF!+#REF!+#REF!+#REF!+#REF!+#REF!+#REF!+#REF!+#REF!+#REF!+#REF!+'01.10.19'!E25</f>
        <v>#REF!</v>
      </c>
      <c r="F25" s="6" t="e">
        <f>#REF!+#REF!+#REF!+#REF!+#REF!+#REF!+#REF!+#REF!+#REF!+#REF!+#REF!+#REF!+#REF!+#REF!+#REF!+#REF!+#REF!+#REF!+#REF!+#REF!+#REF!+#REF!+#REF!+#REF!+#REF!+#REF!+#REF!+#REF!+#REF!+'01.10.19'!F25</f>
        <v>#REF!</v>
      </c>
      <c r="G25" s="6" t="e">
        <f>#REF!+#REF!+#REF!+#REF!+#REF!+#REF!+#REF!+#REF!+#REF!+#REF!+#REF!+#REF!+#REF!+#REF!+#REF!+#REF!+#REF!+#REF!+#REF!+#REF!+#REF!+#REF!+#REF!+#REF!+#REF!+#REF!+#REF!+#REF!+#REF!+'01.10.19'!G25</f>
        <v>#REF!</v>
      </c>
      <c r="H25" s="6" t="e">
        <f>#REF!+#REF!+#REF!+#REF!+#REF!+#REF!+#REF!+#REF!+#REF!+#REF!+#REF!+#REF!+#REF!+#REF!+#REF!+#REF!+#REF!+#REF!+#REF!+#REF!+#REF!+#REF!+#REF!+#REF!+#REF!+#REF!+#REF!+#REF!+#REF!+'01.10.19'!H25</f>
        <v>#REF!</v>
      </c>
      <c r="I25" s="6" t="e">
        <f>#REF!+#REF!+#REF!+#REF!+#REF!+#REF!+#REF!+#REF!+#REF!+#REF!+#REF!+#REF!+#REF!+#REF!+#REF!+#REF!+#REF!+#REF!+#REF!+#REF!+#REF!+#REF!+#REF!+#REF!+#REF!+#REF!+#REF!+#REF!+#REF!+'01.10.19'!I25</f>
        <v>#REF!</v>
      </c>
      <c r="J25" s="6" t="e">
        <f>#REF!+#REF!+#REF!+#REF!+#REF!+#REF!+#REF!+#REF!+#REF!+#REF!+#REF!+#REF!+#REF!+#REF!+#REF!+#REF!+#REF!+#REF!+#REF!+#REF!+#REF!+#REF!+#REF!+#REF!+#REF!+#REF!+#REF!+#REF!+#REF!+'01.10.19'!J25</f>
        <v>#REF!</v>
      </c>
      <c r="K25" s="6" t="e">
        <f>#REF!+#REF!+#REF!+#REF!+#REF!+#REF!+#REF!+#REF!+#REF!+#REF!+#REF!+#REF!+#REF!+#REF!+#REF!+#REF!+#REF!+#REF!+#REF!+#REF!+#REF!+#REF!+#REF!+#REF!+#REF!+#REF!+#REF!+#REF!+#REF!+'01.10.19'!K25</f>
        <v>#REF!</v>
      </c>
      <c r="L25" s="6" t="e">
        <f>#REF!+#REF!+#REF!+#REF!+#REF!+#REF!+#REF!+#REF!+#REF!+#REF!+#REF!+#REF!+#REF!+#REF!+#REF!+#REF!+#REF!+#REF!+#REF!+#REF!+#REF!+#REF!+#REF!+#REF!+#REF!+#REF!+#REF!+#REF!+#REF!+'01.10.19'!L25</f>
        <v>#REF!</v>
      </c>
      <c r="M25" s="6" t="e">
        <f>#REF!+#REF!+#REF!+#REF!+#REF!+#REF!+#REF!+#REF!+#REF!+#REF!+#REF!+#REF!+#REF!+#REF!+#REF!+#REF!+#REF!+#REF!+#REF!+#REF!+#REF!+#REF!+#REF!+#REF!+#REF!+#REF!+#REF!+#REF!+#REF!+'01.10.19'!M25</f>
        <v>#REF!</v>
      </c>
      <c r="N25" s="6" t="e">
        <f>#REF!+#REF!+#REF!+#REF!+#REF!+#REF!+#REF!+#REF!+#REF!+#REF!+#REF!+#REF!+#REF!+#REF!+#REF!+#REF!+#REF!+#REF!+#REF!+#REF!+#REF!+#REF!+#REF!+#REF!+#REF!+#REF!+#REF!+#REF!+#REF!+'01.10.19'!N25</f>
        <v>#REF!</v>
      </c>
      <c r="O25" s="6" t="e">
        <f>#REF!+#REF!+#REF!+#REF!+#REF!+#REF!+#REF!+#REF!+#REF!+#REF!+#REF!+#REF!+#REF!+#REF!+#REF!+#REF!+#REF!+#REF!+#REF!+#REF!+#REF!+#REF!+#REF!+#REF!+#REF!+#REF!+#REF!+#REF!+#REF!+'01.10.19'!O25</f>
        <v>#REF!</v>
      </c>
      <c r="P25" s="6" t="e">
        <f>#REF!+#REF!+#REF!+#REF!+#REF!+#REF!+#REF!+#REF!+#REF!+#REF!+#REF!+#REF!+#REF!+#REF!+#REF!+#REF!+#REF!+#REF!+#REF!+#REF!+#REF!+#REF!+#REF!+#REF!+#REF!+#REF!+#REF!+#REF!+#REF!+'01.10.19'!P25</f>
        <v>#REF!</v>
      </c>
      <c r="Q25" s="7" t="e">
        <f t="shared" si="0"/>
        <v>#REF!</v>
      </c>
      <c r="R25" s="6" t="e">
        <f>#REF!+#REF!+#REF!+#REF!+#REF!+#REF!+#REF!+#REF!+#REF!+#REF!+#REF!+#REF!+#REF!+#REF!+#REF!+#REF!+#REF!+#REF!+#REF!+#REF!+#REF!+#REF!+#REF!+#REF!+#REF!+#REF!+#REF!+#REF!+#REF!+'01.10.19'!R25</f>
        <v>#REF!</v>
      </c>
      <c r="S25" s="6" t="e">
        <f t="shared" si="1"/>
        <v>#REF!</v>
      </c>
      <c r="T25" s="6">
        <v>-1820</v>
      </c>
      <c r="U25" s="6" t="e">
        <f t="shared" si="2"/>
        <v>#REF!</v>
      </c>
      <c r="V25" s="86"/>
      <c r="W25" s="57"/>
      <c r="X25" s="46"/>
      <c r="Y25" s="61"/>
      <c r="Z25" s="66"/>
      <c r="AA25" s="61"/>
      <c r="AB25" s="67"/>
      <c r="AC25" s="61"/>
      <c r="AD25" s="66"/>
      <c r="AE25" s="61"/>
      <c r="AF25" s="52">
        <f t="shared" si="3"/>
        <v>0</v>
      </c>
      <c r="AG25" s="46" t="e">
        <f t="shared" si="4"/>
        <v>#REF!</v>
      </c>
      <c r="AH25" s="51" t="e">
        <f t="shared" si="5"/>
        <v>#REF!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/>
      <c r="D26" s="6" t="e">
        <f>#REF!+#REF!+#REF!+#REF!+#REF!+#REF!+#REF!+#REF!+#REF!+#REF!+#REF!+#REF!+#REF!+#REF!+#REF!+#REF!+#REF!+#REF!+#REF!+#REF!+#REF!+#REF!+#REF!+#REF!+#REF!+#REF!+#REF!+#REF!+#REF!+'01.10.19'!D26</f>
        <v>#REF!</v>
      </c>
      <c r="E26" s="6" t="e">
        <f>#REF!+#REF!+#REF!+#REF!+#REF!+#REF!+#REF!+#REF!+#REF!+#REF!+#REF!+#REF!+#REF!+#REF!+#REF!+#REF!+#REF!+#REF!+#REF!+#REF!+#REF!+#REF!+#REF!+#REF!+#REF!+#REF!+#REF!+#REF!+#REF!+'01.10.19'!E26</f>
        <v>#REF!</v>
      </c>
      <c r="F26" s="6" t="e">
        <f>#REF!+#REF!+#REF!+#REF!+#REF!+#REF!+#REF!+#REF!+#REF!+#REF!+#REF!+#REF!+#REF!+#REF!+#REF!+#REF!+#REF!+#REF!+#REF!+#REF!+#REF!+#REF!+#REF!+#REF!+#REF!+#REF!+#REF!+#REF!+#REF!+'01.10.19'!F26</f>
        <v>#REF!</v>
      </c>
      <c r="G26" s="6" t="e">
        <f>#REF!+#REF!+#REF!+#REF!+#REF!+#REF!+#REF!+#REF!+#REF!+#REF!+#REF!+#REF!+#REF!+#REF!+#REF!+#REF!+#REF!+#REF!+#REF!+#REF!+#REF!+#REF!+#REF!+#REF!+#REF!+#REF!+#REF!+#REF!+#REF!+'01.10.19'!G26</f>
        <v>#REF!</v>
      </c>
      <c r="H26" s="6" t="e">
        <f>#REF!+#REF!+#REF!+#REF!+#REF!+#REF!+#REF!+#REF!+#REF!+#REF!+#REF!+#REF!+#REF!+#REF!+#REF!+#REF!+#REF!+#REF!+#REF!+#REF!+#REF!+#REF!+#REF!+#REF!+#REF!+#REF!+#REF!+#REF!+#REF!+'01.10.19'!H26</f>
        <v>#REF!</v>
      </c>
      <c r="I26" s="6" t="e">
        <f>#REF!+#REF!+#REF!+#REF!+#REF!+#REF!+#REF!+#REF!+#REF!+#REF!+#REF!+#REF!+#REF!+#REF!+#REF!+#REF!+#REF!+#REF!+#REF!+#REF!+#REF!+#REF!+#REF!+#REF!+#REF!+#REF!+#REF!+#REF!+#REF!+'01.10.19'!I26</f>
        <v>#REF!</v>
      </c>
      <c r="J26" s="6" t="e">
        <f>#REF!+#REF!+#REF!+#REF!+#REF!+#REF!+#REF!+#REF!+#REF!+#REF!+#REF!+#REF!+#REF!+#REF!+#REF!+#REF!+#REF!+#REF!+#REF!+#REF!+#REF!+#REF!+#REF!+#REF!+#REF!+#REF!+#REF!+#REF!+#REF!+'01.10.19'!J26</f>
        <v>#REF!</v>
      </c>
      <c r="K26" s="6" t="e">
        <f>#REF!+#REF!+#REF!+#REF!+#REF!+#REF!+#REF!+#REF!+#REF!+#REF!+#REF!+#REF!+#REF!+#REF!+#REF!+#REF!+#REF!+#REF!+#REF!+#REF!+#REF!+#REF!+#REF!+#REF!+#REF!+#REF!+#REF!+#REF!+#REF!+'01.10.19'!K26</f>
        <v>#REF!</v>
      </c>
      <c r="L26" s="6" t="e">
        <f>#REF!+#REF!+#REF!+#REF!+#REF!+#REF!+#REF!+#REF!+#REF!+#REF!+#REF!+#REF!+#REF!+#REF!+#REF!+#REF!+#REF!+#REF!+#REF!+#REF!+#REF!+#REF!+#REF!+#REF!+#REF!+#REF!+#REF!+#REF!+#REF!+'01.10.19'!L26</f>
        <v>#REF!</v>
      </c>
      <c r="M26" s="6" t="e">
        <f>#REF!+#REF!+#REF!+#REF!+#REF!+#REF!+#REF!+#REF!+#REF!+#REF!+#REF!+#REF!+#REF!+#REF!+#REF!+#REF!+#REF!+#REF!+#REF!+#REF!+#REF!+#REF!+#REF!+#REF!+#REF!+#REF!+#REF!+#REF!+#REF!+'01.10.19'!M26</f>
        <v>#REF!</v>
      </c>
      <c r="N26" s="6" t="e">
        <f>#REF!+#REF!+#REF!+#REF!+#REF!+#REF!+#REF!+#REF!+#REF!+#REF!+#REF!+#REF!+#REF!+#REF!+#REF!+#REF!+#REF!+#REF!+#REF!+#REF!+#REF!+#REF!+#REF!+#REF!+#REF!+#REF!+#REF!+#REF!+#REF!+'01.10.19'!N26</f>
        <v>#REF!</v>
      </c>
      <c r="O26" s="6" t="e">
        <f>#REF!+#REF!+#REF!+#REF!+#REF!+#REF!+#REF!+#REF!+#REF!+#REF!+#REF!+#REF!+#REF!+#REF!+#REF!+#REF!+#REF!+#REF!+#REF!+#REF!+#REF!+#REF!+#REF!+#REF!+#REF!+#REF!+#REF!+#REF!+#REF!+'01.10.19'!O26</f>
        <v>#REF!</v>
      </c>
      <c r="P26" s="6" t="e">
        <f>#REF!+#REF!+#REF!+#REF!+#REF!+#REF!+#REF!+#REF!+#REF!+#REF!+#REF!+#REF!+#REF!+#REF!+#REF!+#REF!+#REF!+#REF!+#REF!+#REF!+#REF!+#REF!+#REF!+#REF!+#REF!+#REF!+#REF!+#REF!+#REF!+'01.10.19'!P26</f>
        <v>#REF!</v>
      </c>
      <c r="Q26" s="7" t="e">
        <f t="shared" si="0"/>
        <v>#REF!</v>
      </c>
      <c r="R26" s="6" t="e">
        <f>#REF!+#REF!+#REF!+#REF!+#REF!+#REF!+#REF!+#REF!+#REF!+#REF!+#REF!+#REF!+#REF!+#REF!+#REF!+#REF!+#REF!+#REF!+#REF!+#REF!+#REF!+#REF!+#REF!+#REF!+#REF!+#REF!+#REF!+#REF!+#REF!+'01.10.19'!R26</f>
        <v>#REF!</v>
      </c>
      <c r="S26" s="6" t="e">
        <f t="shared" si="1"/>
        <v>#REF!</v>
      </c>
      <c r="T26" s="6">
        <v>0</v>
      </c>
      <c r="U26" s="6" t="e">
        <f t="shared" si="2"/>
        <v>#REF!</v>
      </c>
      <c r="V26" s="86"/>
      <c r="W26" s="57"/>
      <c r="X26" s="46"/>
      <c r="Y26" s="61"/>
      <c r="Z26" s="66"/>
      <c r="AA26" s="61"/>
      <c r="AB26" s="67"/>
      <c r="AC26" s="61"/>
      <c r="AD26" s="66"/>
      <c r="AE26" s="61"/>
      <c r="AF26" s="52">
        <f t="shared" si="3"/>
        <v>0</v>
      </c>
      <c r="AG26" s="46" t="e">
        <f t="shared" si="4"/>
        <v>#REF!</v>
      </c>
      <c r="AH26" s="51" t="e">
        <f t="shared" si="5"/>
        <v>#REF!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/>
      <c r="D27" s="6" t="e">
        <f>#REF!+#REF!+#REF!+#REF!+#REF!+#REF!+#REF!+#REF!+#REF!+#REF!+#REF!+#REF!+#REF!+#REF!+#REF!+#REF!+#REF!+#REF!+#REF!+#REF!+#REF!+#REF!+#REF!+#REF!+#REF!+#REF!+#REF!+#REF!+#REF!+'01.10.19'!D27</f>
        <v>#REF!</v>
      </c>
      <c r="E27" s="6" t="e">
        <f>#REF!+#REF!+#REF!+#REF!+#REF!+#REF!+#REF!+#REF!+#REF!+#REF!+#REF!+#REF!+#REF!+#REF!+#REF!+#REF!+#REF!+#REF!+#REF!+#REF!+#REF!+#REF!+#REF!+#REF!+#REF!+#REF!+#REF!+#REF!+#REF!+'01.10.19'!E27</f>
        <v>#REF!</v>
      </c>
      <c r="F27" s="6" t="e">
        <f>#REF!+#REF!+#REF!+#REF!+#REF!+#REF!+#REF!+#REF!+#REF!+#REF!+#REF!+#REF!+#REF!+#REF!+#REF!+#REF!+#REF!+#REF!+#REF!+#REF!+#REF!+#REF!+#REF!+#REF!+#REF!+#REF!+#REF!+#REF!+#REF!+'01.10.19'!F27</f>
        <v>#REF!</v>
      </c>
      <c r="G27" s="6" t="e">
        <f>#REF!+#REF!+#REF!+#REF!+#REF!+#REF!+#REF!+#REF!+#REF!+#REF!+#REF!+#REF!+#REF!+#REF!+#REF!+#REF!+#REF!+#REF!+#REF!+#REF!+#REF!+#REF!+#REF!+#REF!+#REF!+#REF!+#REF!+#REF!+#REF!+'01.10.19'!G27</f>
        <v>#REF!</v>
      </c>
      <c r="H27" s="6" t="e">
        <f>#REF!+#REF!+#REF!+#REF!+#REF!+#REF!+#REF!+#REF!+#REF!+#REF!+#REF!+#REF!+#REF!+#REF!+#REF!+#REF!+#REF!+#REF!+#REF!+#REF!+#REF!+#REF!+#REF!+#REF!+#REF!+#REF!+#REF!+#REF!+#REF!+'01.10.19'!H27</f>
        <v>#REF!</v>
      </c>
      <c r="I27" s="6" t="e">
        <f>#REF!+#REF!+#REF!+#REF!+#REF!+#REF!+#REF!+#REF!+#REF!+#REF!+#REF!+#REF!+#REF!+#REF!+#REF!+#REF!+#REF!+#REF!+#REF!+#REF!+#REF!+#REF!+#REF!+#REF!+#REF!+#REF!+#REF!+#REF!+#REF!+'01.10.19'!I27</f>
        <v>#REF!</v>
      </c>
      <c r="J27" s="6" t="e">
        <f>#REF!+#REF!+#REF!+#REF!+#REF!+#REF!+#REF!+#REF!+#REF!+#REF!+#REF!+#REF!+#REF!+#REF!+#REF!+#REF!+#REF!+#REF!+#REF!+#REF!+#REF!+#REF!+#REF!+#REF!+#REF!+#REF!+#REF!+#REF!+#REF!+'01.10.19'!J27</f>
        <v>#REF!</v>
      </c>
      <c r="K27" s="6" t="e">
        <f>#REF!+#REF!+#REF!+#REF!+#REF!+#REF!+#REF!+#REF!+#REF!+#REF!+#REF!+#REF!+#REF!+#REF!+#REF!+#REF!+#REF!+#REF!+#REF!+#REF!+#REF!+#REF!+#REF!+#REF!+#REF!+#REF!+#REF!+#REF!+#REF!+'01.10.19'!K27</f>
        <v>#REF!</v>
      </c>
      <c r="L27" s="6" t="e">
        <f>#REF!+#REF!+#REF!+#REF!+#REF!+#REF!+#REF!+#REF!+#REF!+#REF!+#REF!+#REF!+#REF!+#REF!+#REF!+#REF!+#REF!+#REF!+#REF!+#REF!+#REF!+#REF!+#REF!+#REF!+#REF!+#REF!+#REF!+#REF!+#REF!+'01.10.19'!L27</f>
        <v>#REF!</v>
      </c>
      <c r="M27" s="6" t="e">
        <f>#REF!+#REF!+#REF!+#REF!+#REF!+#REF!+#REF!+#REF!+#REF!+#REF!+#REF!+#REF!+#REF!+#REF!+#REF!+#REF!+#REF!+#REF!+#REF!+#REF!+#REF!+#REF!+#REF!+#REF!+#REF!+#REF!+#REF!+#REF!+#REF!+'01.10.19'!M27</f>
        <v>#REF!</v>
      </c>
      <c r="N27" s="6" t="e">
        <f>#REF!+#REF!+#REF!+#REF!+#REF!+#REF!+#REF!+#REF!+#REF!+#REF!+#REF!+#REF!+#REF!+#REF!+#REF!+#REF!+#REF!+#REF!+#REF!+#REF!+#REF!+#REF!+#REF!+#REF!+#REF!+#REF!+#REF!+#REF!+#REF!+'01.10.19'!N27</f>
        <v>#REF!</v>
      </c>
      <c r="O27" s="6" t="e">
        <f>#REF!+#REF!+#REF!+#REF!+#REF!+#REF!+#REF!+#REF!+#REF!+#REF!+#REF!+#REF!+#REF!+#REF!+#REF!+#REF!+#REF!+#REF!+#REF!+#REF!+#REF!+#REF!+#REF!+#REF!+#REF!+#REF!+#REF!+#REF!+#REF!+'01.10.19'!O27</f>
        <v>#REF!</v>
      </c>
      <c r="P27" s="6" t="e">
        <f>#REF!+#REF!+#REF!+#REF!+#REF!+#REF!+#REF!+#REF!+#REF!+#REF!+#REF!+#REF!+#REF!+#REF!+#REF!+#REF!+#REF!+#REF!+#REF!+#REF!+#REF!+#REF!+#REF!+#REF!+#REF!+#REF!+#REF!+#REF!+#REF!+'01.10.19'!P27</f>
        <v>#REF!</v>
      </c>
      <c r="Q27" s="7" t="e">
        <f t="shared" si="0"/>
        <v>#REF!</v>
      </c>
      <c r="R27" s="6" t="e">
        <f>#REF!+#REF!+#REF!+#REF!+#REF!+#REF!+#REF!+#REF!+#REF!+#REF!+#REF!+#REF!+#REF!+#REF!+#REF!+#REF!+#REF!+#REF!+#REF!+#REF!+#REF!+#REF!+#REF!+#REF!+#REF!+#REF!+#REF!+#REF!+#REF!+'01.10.19'!R27</f>
        <v>#REF!</v>
      </c>
      <c r="S27" s="6" t="e">
        <f t="shared" si="1"/>
        <v>#REF!</v>
      </c>
      <c r="T27" s="6">
        <v>600</v>
      </c>
      <c r="U27" s="6" t="e">
        <f t="shared" si="2"/>
        <v>#REF!</v>
      </c>
      <c r="V27" s="86"/>
      <c r="W27" s="57"/>
      <c r="X27" s="46"/>
      <c r="Y27" s="61"/>
      <c r="Z27" s="66"/>
      <c r="AA27" s="61"/>
      <c r="AB27" s="67"/>
      <c r="AC27" s="61"/>
      <c r="AD27" s="66"/>
      <c r="AE27" s="61"/>
      <c r="AF27" s="52">
        <f t="shared" si="3"/>
        <v>0</v>
      </c>
      <c r="AG27" s="46" t="e">
        <f t="shared" si="4"/>
        <v>#REF!</v>
      </c>
      <c r="AH27" s="51" t="e">
        <f t="shared" si="5"/>
        <v>#REF!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/>
      <c r="D28" s="6" t="e">
        <f>#REF!+#REF!+#REF!+#REF!+#REF!+#REF!+#REF!+#REF!+#REF!+#REF!+#REF!+#REF!+#REF!+#REF!+#REF!+#REF!+#REF!+#REF!+#REF!+#REF!+#REF!+#REF!+#REF!+#REF!+#REF!+#REF!+#REF!+#REF!+#REF!+'01.10.19'!D28</f>
        <v>#REF!</v>
      </c>
      <c r="E28" s="6" t="e">
        <f>#REF!+#REF!+#REF!+#REF!+#REF!+#REF!+#REF!+#REF!+#REF!+#REF!+#REF!+#REF!+#REF!+#REF!+#REF!+#REF!+#REF!+#REF!+#REF!+#REF!+#REF!+#REF!+#REF!+#REF!+#REF!+#REF!+#REF!+#REF!+#REF!+'01.10.19'!E28</f>
        <v>#REF!</v>
      </c>
      <c r="F28" s="6" t="e">
        <f>#REF!+#REF!+#REF!+#REF!+#REF!+#REF!+#REF!+#REF!+#REF!+#REF!+#REF!+#REF!+#REF!+#REF!+#REF!+#REF!+#REF!+#REF!+#REF!+#REF!+#REF!+#REF!+#REF!+#REF!+#REF!+#REF!+#REF!+#REF!+#REF!+'01.10.19'!F28</f>
        <v>#REF!</v>
      </c>
      <c r="G28" s="6" t="e">
        <f>#REF!+#REF!+#REF!+#REF!+#REF!+#REF!+#REF!+#REF!+#REF!+#REF!+#REF!+#REF!+#REF!+#REF!+#REF!+#REF!+#REF!+#REF!+#REF!+#REF!+#REF!+#REF!+#REF!+#REF!+#REF!+#REF!+#REF!+#REF!+#REF!+'01.10.19'!G28</f>
        <v>#REF!</v>
      </c>
      <c r="H28" s="6" t="e">
        <f>#REF!+#REF!+#REF!+#REF!+#REF!+#REF!+#REF!+#REF!+#REF!+#REF!+#REF!+#REF!+#REF!+#REF!+#REF!+#REF!+#REF!+#REF!+#REF!+#REF!+#REF!+#REF!+#REF!+#REF!+#REF!+#REF!+#REF!+#REF!+#REF!+'01.10.19'!H28</f>
        <v>#REF!</v>
      </c>
      <c r="I28" s="6" t="e">
        <f>#REF!+#REF!+#REF!+#REF!+#REF!+#REF!+#REF!+#REF!+#REF!+#REF!+#REF!+#REF!+#REF!+#REF!+#REF!+#REF!+#REF!+#REF!+#REF!+#REF!+#REF!+#REF!+#REF!+#REF!+#REF!+#REF!+#REF!+#REF!+#REF!+'01.10.19'!I28</f>
        <v>#REF!</v>
      </c>
      <c r="J28" s="6" t="e">
        <f>#REF!+#REF!+#REF!+#REF!+#REF!+#REF!+#REF!+#REF!+#REF!+#REF!+#REF!+#REF!+#REF!+#REF!+#REF!+#REF!+#REF!+#REF!+#REF!+#REF!+#REF!+#REF!+#REF!+#REF!+#REF!+#REF!+#REF!+#REF!+#REF!+'01.10.19'!J28</f>
        <v>#REF!</v>
      </c>
      <c r="K28" s="6" t="e">
        <f>#REF!+#REF!+#REF!+#REF!+#REF!+#REF!+#REF!+#REF!+#REF!+#REF!+#REF!+#REF!+#REF!+#REF!+#REF!+#REF!+#REF!+#REF!+#REF!+#REF!+#REF!+#REF!+#REF!+#REF!+#REF!+#REF!+#REF!+#REF!+#REF!+'01.10.19'!K28</f>
        <v>#REF!</v>
      </c>
      <c r="L28" s="6" t="e">
        <f>#REF!+#REF!+#REF!+#REF!+#REF!+#REF!+#REF!+#REF!+#REF!+#REF!+#REF!+#REF!+#REF!+#REF!+#REF!+#REF!+#REF!+#REF!+#REF!+#REF!+#REF!+#REF!+#REF!+#REF!+#REF!+#REF!+#REF!+#REF!+#REF!+'01.10.19'!L28</f>
        <v>#REF!</v>
      </c>
      <c r="M28" s="6" t="e">
        <f>#REF!+#REF!+#REF!+#REF!+#REF!+#REF!+#REF!+#REF!+#REF!+#REF!+#REF!+#REF!+#REF!+#REF!+#REF!+#REF!+#REF!+#REF!+#REF!+#REF!+#REF!+#REF!+#REF!+#REF!+#REF!+#REF!+#REF!+#REF!+#REF!+'01.10.19'!M28</f>
        <v>#REF!</v>
      </c>
      <c r="N28" s="6" t="e">
        <f>#REF!+#REF!+#REF!+#REF!+#REF!+#REF!+#REF!+#REF!+#REF!+#REF!+#REF!+#REF!+#REF!+#REF!+#REF!+#REF!+#REF!+#REF!+#REF!+#REF!+#REF!+#REF!+#REF!+#REF!+#REF!+#REF!+#REF!+#REF!+#REF!+'01.10.19'!N28</f>
        <v>#REF!</v>
      </c>
      <c r="O28" s="6" t="e">
        <f>#REF!+#REF!+#REF!+#REF!+#REF!+#REF!+#REF!+#REF!+#REF!+#REF!+#REF!+#REF!+#REF!+#REF!+#REF!+#REF!+#REF!+#REF!+#REF!+#REF!+#REF!+#REF!+#REF!+#REF!+#REF!+#REF!+#REF!+#REF!+#REF!+'01.10.19'!O28</f>
        <v>#REF!</v>
      </c>
      <c r="P28" s="6" t="e">
        <f>#REF!+#REF!+#REF!+#REF!+#REF!+#REF!+#REF!+#REF!+#REF!+#REF!+#REF!+#REF!+#REF!+#REF!+#REF!+#REF!+#REF!+#REF!+#REF!+#REF!+#REF!+#REF!+#REF!+#REF!+#REF!+#REF!+#REF!+#REF!+#REF!+'01.10.19'!P28</f>
        <v>#REF!</v>
      </c>
      <c r="Q28" s="7" t="e">
        <f t="shared" si="0"/>
        <v>#REF!</v>
      </c>
      <c r="R28" s="6" t="e">
        <f>#REF!+#REF!+#REF!+#REF!+#REF!+#REF!+#REF!+#REF!+#REF!+#REF!+#REF!+#REF!+#REF!+#REF!+#REF!+#REF!+#REF!+#REF!+#REF!+#REF!+#REF!+#REF!+#REF!+#REF!+#REF!+#REF!+#REF!+#REF!+#REF!+'01.10.19'!R28</f>
        <v>#REF!</v>
      </c>
      <c r="S28" s="6" t="e">
        <f t="shared" si="1"/>
        <v>#REF!</v>
      </c>
      <c r="T28" s="6">
        <v>-10000</v>
      </c>
      <c r="U28" s="6" t="e">
        <f t="shared" si="2"/>
        <v>#REF!</v>
      </c>
      <c r="V28" s="71"/>
      <c r="W28" s="57"/>
      <c r="X28" s="46"/>
      <c r="Y28" s="61"/>
      <c r="Z28" s="66"/>
      <c r="AA28" s="61"/>
      <c r="AB28" s="67"/>
      <c r="AC28" s="61"/>
      <c r="AD28" s="66"/>
      <c r="AE28" s="61"/>
      <c r="AF28" s="52">
        <f t="shared" si="3"/>
        <v>0</v>
      </c>
      <c r="AG28" s="46" t="e">
        <f t="shared" si="4"/>
        <v>#REF!</v>
      </c>
      <c r="AH28" s="51" t="e">
        <f t="shared" si="5"/>
        <v>#REF!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/>
      <c r="D29" s="6" t="e">
        <f>#REF!+#REF!+#REF!+#REF!+#REF!+#REF!+#REF!+#REF!+#REF!+#REF!+#REF!+#REF!+#REF!+#REF!+#REF!+#REF!+#REF!+#REF!+#REF!+#REF!+#REF!+#REF!+#REF!+#REF!+#REF!+#REF!+#REF!+#REF!+#REF!+'01.10.19'!D29</f>
        <v>#REF!</v>
      </c>
      <c r="E29" s="6" t="e">
        <f>#REF!+#REF!+#REF!+#REF!+#REF!+#REF!+#REF!+#REF!+#REF!+#REF!+#REF!+#REF!+#REF!+#REF!+#REF!+#REF!+#REF!+#REF!+#REF!+#REF!+#REF!+#REF!+#REF!+#REF!+#REF!+#REF!+#REF!+#REF!+#REF!+'01.10.19'!E29</f>
        <v>#REF!</v>
      </c>
      <c r="F29" s="6" t="e">
        <f>#REF!+#REF!+#REF!+#REF!+#REF!+#REF!+#REF!+#REF!+#REF!+#REF!+#REF!+#REF!+#REF!+#REF!+#REF!+#REF!+#REF!+#REF!+#REF!+#REF!+#REF!+#REF!+#REF!+#REF!+#REF!+#REF!+#REF!+#REF!+#REF!+'01.10.19'!F29</f>
        <v>#REF!</v>
      </c>
      <c r="G29" s="6" t="e">
        <f>#REF!+#REF!+#REF!+#REF!+#REF!+#REF!+#REF!+#REF!+#REF!+#REF!+#REF!+#REF!+#REF!+#REF!+#REF!+#REF!+#REF!+#REF!+#REF!+#REF!+#REF!+#REF!+#REF!+#REF!+#REF!+#REF!+#REF!+#REF!+#REF!+'01.10.19'!G29</f>
        <v>#REF!</v>
      </c>
      <c r="H29" s="6" t="e">
        <f>#REF!+#REF!+#REF!+#REF!+#REF!+#REF!+#REF!+#REF!+#REF!+#REF!+#REF!+#REF!+#REF!+#REF!+#REF!+#REF!+#REF!+#REF!+#REF!+#REF!+#REF!+#REF!+#REF!+#REF!+#REF!+#REF!+#REF!+#REF!+#REF!+'01.10.19'!H29</f>
        <v>#REF!</v>
      </c>
      <c r="I29" s="6" t="e">
        <f>#REF!+#REF!+#REF!+#REF!+#REF!+#REF!+#REF!+#REF!+#REF!+#REF!+#REF!+#REF!+#REF!+#REF!+#REF!+#REF!+#REF!+#REF!+#REF!+#REF!+#REF!+#REF!+#REF!+#REF!+#REF!+#REF!+#REF!+#REF!+#REF!+'01.10.19'!I29</f>
        <v>#REF!</v>
      </c>
      <c r="J29" s="6" t="e">
        <f>#REF!+#REF!+#REF!+#REF!+#REF!+#REF!+#REF!+#REF!+#REF!+#REF!+#REF!+#REF!+#REF!+#REF!+#REF!+#REF!+#REF!+#REF!+#REF!+#REF!+#REF!+#REF!+#REF!+#REF!+#REF!+#REF!+#REF!+#REF!+#REF!+'01.10.19'!J29</f>
        <v>#REF!</v>
      </c>
      <c r="K29" s="6" t="e">
        <f>#REF!+#REF!+#REF!+#REF!+#REF!+#REF!+#REF!+#REF!+#REF!+#REF!+#REF!+#REF!+#REF!+#REF!+#REF!+#REF!+#REF!+#REF!+#REF!+#REF!+#REF!+#REF!+#REF!+#REF!+#REF!+#REF!+#REF!+#REF!+#REF!+'01.10.19'!K29</f>
        <v>#REF!</v>
      </c>
      <c r="L29" s="6" t="e">
        <f>#REF!+#REF!+#REF!+#REF!+#REF!+#REF!+#REF!+#REF!+#REF!+#REF!+#REF!+#REF!+#REF!+#REF!+#REF!+#REF!+#REF!+#REF!+#REF!+#REF!+#REF!+#REF!+#REF!+#REF!+#REF!+#REF!+#REF!+#REF!+#REF!+'01.10.19'!L29</f>
        <v>#REF!</v>
      </c>
      <c r="M29" s="6" t="e">
        <f>#REF!+#REF!+#REF!+#REF!+#REF!+#REF!+#REF!+#REF!+#REF!+#REF!+#REF!+#REF!+#REF!+#REF!+#REF!+#REF!+#REF!+#REF!+#REF!+#REF!+#REF!+#REF!+#REF!+#REF!+#REF!+#REF!+#REF!+#REF!+#REF!+'01.10.19'!M29</f>
        <v>#REF!</v>
      </c>
      <c r="N29" s="6" t="e">
        <f>#REF!+#REF!+#REF!+#REF!+#REF!+#REF!+#REF!+#REF!+#REF!+#REF!+#REF!+#REF!+#REF!+#REF!+#REF!+#REF!+#REF!+#REF!+#REF!+#REF!+#REF!+#REF!+#REF!+#REF!+#REF!+#REF!+#REF!+#REF!+#REF!+'01.10.19'!N29</f>
        <v>#REF!</v>
      </c>
      <c r="O29" s="6" t="e">
        <f>#REF!+#REF!+#REF!+#REF!+#REF!+#REF!+#REF!+#REF!+#REF!+#REF!+#REF!+#REF!+#REF!+#REF!+#REF!+#REF!+#REF!+#REF!+#REF!+#REF!+#REF!+#REF!+#REF!+#REF!+#REF!+#REF!+#REF!+#REF!+#REF!+'01.10.19'!O29</f>
        <v>#REF!</v>
      </c>
      <c r="P29" s="6" t="e">
        <f>#REF!+#REF!+#REF!+#REF!+#REF!+#REF!+#REF!+#REF!+#REF!+#REF!+#REF!+#REF!+#REF!+#REF!+#REF!+#REF!+#REF!+#REF!+#REF!+#REF!+#REF!+#REF!+#REF!+#REF!+#REF!+#REF!+#REF!+#REF!+#REF!+'01.10.19'!P29</f>
        <v>#REF!</v>
      </c>
      <c r="Q29" s="7" t="e">
        <f t="shared" si="0"/>
        <v>#REF!</v>
      </c>
      <c r="R29" s="6" t="e">
        <f>#REF!+#REF!+#REF!+#REF!+#REF!+#REF!+#REF!+#REF!+#REF!+#REF!+#REF!+#REF!+#REF!+#REF!+#REF!+#REF!+#REF!+#REF!+#REF!+#REF!+#REF!+#REF!+#REF!+#REF!+#REF!+#REF!+#REF!+#REF!+#REF!+'01.10.19'!R29</f>
        <v>#REF!</v>
      </c>
      <c r="S29" s="6" t="e">
        <f t="shared" si="1"/>
        <v>#REF!</v>
      </c>
      <c r="T29" s="6">
        <v>7400</v>
      </c>
      <c r="U29" s="6" t="e">
        <f t="shared" si="2"/>
        <v>#REF!</v>
      </c>
      <c r="V29" s="86">
        <v>120</v>
      </c>
      <c r="W29" s="57"/>
      <c r="X29" s="46"/>
      <c r="Y29" s="61"/>
      <c r="Z29" s="66"/>
      <c r="AA29" s="61"/>
      <c r="AB29" s="67"/>
      <c r="AC29" s="61"/>
      <c r="AD29" s="66"/>
      <c r="AE29" s="61"/>
      <c r="AF29" s="52">
        <f t="shared" si="3"/>
        <v>0</v>
      </c>
      <c r="AG29" s="46" t="e">
        <f t="shared" si="4"/>
        <v>#REF!</v>
      </c>
      <c r="AH29" s="51" t="e">
        <f t="shared" si="5"/>
        <v>#REF!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/>
      <c r="D30" s="6" t="e">
        <f>#REF!+#REF!+#REF!+#REF!+#REF!+#REF!+#REF!+#REF!+#REF!+#REF!+#REF!+#REF!+#REF!+#REF!+#REF!+#REF!+#REF!+#REF!+#REF!+#REF!+#REF!+#REF!+#REF!+#REF!+#REF!+#REF!+#REF!+#REF!+#REF!+'01.10.19'!D30</f>
        <v>#REF!</v>
      </c>
      <c r="E30" s="6" t="e">
        <f>#REF!+#REF!+#REF!+#REF!+#REF!+#REF!+#REF!+#REF!+#REF!+#REF!+#REF!+#REF!+#REF!+#REF!+#REF!+#REF!+#REF!+#REF!+#REF!+#REF!+#REF!+#REF!+#REF!+#REF!+#REF!+#REF!+#REF!+#REF!+#REF!+'01.10.19'!E30</f>
        <v>#REF!</v>
      </c>
      <c r="F30" s="6" t="e">
        <f>#REF!+#REF!+#REF!+#REF!+#REF!+#REF!+#REF!+#REF!+#REF!+#REF!+#REF!+#REF!+#REF!+#REF!+#REF!+#REF!+#REF!+#REF!+#REF!+#REF!+#REF!+#REF!+#REF!+#REF!+#REF!+#REF!+#REF!+#REF!+#REF!+'01.10.19'!F30</f>
        <v>#REF!</v>
      </c>
      <c r="G30" s="6" t="e">
        <f>#REF!+#REF!+#REF!+#REF!+#REF!+#REF!+#REF!+#REF!+#REF!+#REF!+#REF!+#REF!+#REF!+#REF!+#REF!+#REF!+#REF!+#REF!+#REF!+#REF!+#REF!+#REF!+#REF!+#REF!+#REF!+#REF!+#REF!+#REF!+#REF!+'01.10.19'!G30</f>
        <v>#REF!</v>
      </c>
      <c r="H30" s="6" t="e">
        <f>#REF!+#REF!+#REF!+#REF!+#REF!+#REF!+#REF!+#REF!+#REF!+#REF!+#REF!+#REF!+#REF!+#REF!+#REF!+#REF!+#REF!+#REF!+#REF!+#REF!+#REF!+#REF!+#REF!+#REF!+#REF!+#REF!+#REF!+#REF!+#REF!+'01.10.19'!H30</f>
        <v>#REF!</v>
      </c>
      <c r="I30" s="6" t="e">
        <f>#REF!+#REF!+#REF!+#REF!+#REF!+#REF!+#REF!+#REF!+#REF!+#REF!+#REF!+#REF!+#REF!+#REF!+#REF!+#REF!+#REF!+#REF!+#REF!+#REF!+#REF!+#REF!+#REF!+#REF!+#REF!+#REF!+#REF!+#REF!+#REF!+'01.10.19'!I30</f>
        <v>#REF!</v>
      </c>
      <c r="J30" s="6" t="e">
        <f>#REF!+#REF!+#REF!+#REF!+#REF!+#REF!+#REF!+#REF!+#REF!+#REF!+#REF!+#REF!+#REF!+#REF!+#REF!+#REF!+#REF!+#REF!+#REF!+#REF!+#REF!+#REF!+#REF!+#REF!+#REF!+#REF!+#REF!+#REF!+#REF!+'01.10.19'!J30</f>
        <v>#REF!</v>
      </c>
      <c r="K30" s="6" t="e">
        <f>#REF!+#REF!+#REF!+#REF!+#REF!+#REF!+#REF!+#REF!+#REF!+#REF!+#REF!+#REF!+#REF!+#REF!+#REF!+#REF!+#REF!+#REF!+#REF!+#REF!+#REF!+#REF!+#REF!+#REF!+#REF!+#REF!+#REF!+#REF!+#REF!+'01.10.19'!K30</f>
        <v>#REF!</v>
      </c>
      <c r="L30" s="6" t="e">
        <f>#REF!+#REF!+#REF!+#REF!+#REF!+#REF!+#REF!+#REF!+#REF!+#REF!+#REF!+#REF!+#REF!+#REF!+#REF!+#REF!+#REF!+#REF!+#REF!+#REF!+#REF!+#REF!+#REF!+#REF!+#REF!+#REF!+#REF!+#REF!+#REF!+'01.10.19'!L30</f>
        <v>#REF!</v>
      </c>
      <c r="M30" s="6" t="e">
        <f>#REF!+#REF!+#REF!+#REF!+#REF!+#REF!+#REF!+#REF!+#REF!+#REF!+#REF!+#REF!+#REF!+#REF!+#REF!+#REF!+#REF!+#REF!+#REF!+#REF!+#REF!+#REF!+#REF!+#REF!+#REF!+#REF!+#REF!+#REF!+#REF!+'01.10.19'!M30</f>
        <v>#REF!</v>
      </c>
      <c r="N30" s="6" t="e">
        <f>#REF!+#REF!+#REF!+#REF!+#REF!+#REF!+#REF!+#REF!+#REF!+#REF!+#REF!+#REF!+#REF!+#REF!+#REF!+#REF!+#REF!+#REF!+#REF!+#REF!+#REF!+#REF!+#REF!+#REF!+#REF!+#REF!+#REF!+#REF!+#REF!+'01.10.19'!N30</f>
        <v>#REF!</v>
      </c>
      <c r="O30" s="6" t="e">
        <f>#REF!+#REF!+#REF!+#REF!+#REF!+#REF!+#REF!+#REF!+#REF!+#REF!+#REF!+#REF!+#REF!+#REF!+#REF!+#REF!+#REF!+#REF!+#REF!+#REF!+#REF!+#REF!+#REF!+#REF!+#REF!+#REF!+#REF!+#REF!+#REF!+'01.10.19'!O30</f>
        <v>#REF!</v>
      </c>
      <c r="P30" s="6" t="e">
        <f>#REF!+#REF!+#REF!+#REF!+#REF!+#REF!+#REF!+#REF!+#REF!+#REF!+#REF!+#REF!+#REF!+#REF!+#REF!+#REF!+#REF!+#REF!+#REF!+#REF!+#REF!+#REF!+#REF!+#REF!+#REF!+#REF!+#REF!+#REF!+#REF!+'01.10.19'!P30</f>
        <v>#REF!</v>
      </c>
      <c r="Q30" s="7" t="e">
        <f t="shared" si="0"/>
        <v>#REF!</v>
      </c>
      <c r="R30" s="6" t="e">
        <f>#REF!+#REF!+#REF!+#REF!+#REF!+#REF!+#REF!+#REF!+#REF!+#REF!+#REF!+#REF!+#REF!+#REF!+#REF!+#REF!+#REF!+#REF!+#REF!+#REF!+#REF!+#REF!+#REF!+#REF!+#REF!+#REF!+#REF!+#REF!+#REF!+'01.10.19'!R30</f>
        <v>#REF!</v>
      </c>
      <c r="S30" s="6" t="e">
        <f t="shared" si="1"/>
        <v>#REF!</v>
      </c>
      <c r="T30" s="6">
        <f>-12600+200</f>
        <v>-12400</v>
      </c>
      <c r="U30" s="6" t="e">
        <f t="shared" si="2"/>
        <v>#REF!</v>
      </c>
      <c r="V30" s="58"/>
      <c r="W30" s="57"/>
      <c r="X30" s="46"/>
      <c r="Y30" s="61"/>
      <c r="Z30" s="66"/>
      <c r="AA30" s="61"/>
      <c r="AB30" s="67"/>
      <c r="AC30" s="61"/>
      <c r="AD30" s="66"/>
      <c r="AE30" s="61"/>
      <c r="AF30" s="52">
        <f t="shared" si="3"/>
        <v>0</v>
      </c>
      <c r="AG30" s="46" t="e">
        <f t="shared" si="4"/>
        <v>#REF!</v>
      </c>
      <c r="AH30" s="51" t="e">
        <f t="shared" si="5"/>
        <v>#REF!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/>
      <c r="D31" s="6" t="e">
        <f>#REF!+#REF!+#REF!+#REF!+#REF!+#REF!+#REF!+#REF!+#REF!+#REF!+#REF!+#REF!+#REF!+#REF!+#REF!+#REF!+#REF!+#REF!+#REF!+#REF!+#REF!+#REF!+#REF!+#REF!+#REF!+#REF!+#REF!+#REF!+#REF!+'01.10.19'!D31</f>
        <v>#REF!</v>
      </c>
      <c r="E31" s="6" t="e">
        <f>#REF!+#REF!+#REF!+#REF!+#REF!+#REF!+#REF!+#REF!+#REF!+#REF!+#REF!+#REF!+#REF!+#REF!+#REF!+#REF!+#REF!+#REF!+#REF!+#REF!+#REF!+#REF!+#REF!+#REF!+#REF!+#REF!+#REF!+#REF!+#REF!+'01.10.19'!E31</f>
        <v>#REF!</v>
      </c>
      <c r="F31" s="6" t="e">
        <f>#REF!+#REF!+#REF!+#REF!+#REF!+#REF!+#REF!+#REF!+#REF!+#REF!+#REF!+#REF!+#REF!+#REF!+#REF!+#REF!+#REF!+#REF!+#REF!+#REF!+#REF!+#REF!+#REF!+#REF!+#REF!+#REF!+#REF!+#REF!+#REF!+'01.10.19'!F31</f>
        <v>#REF!</v>
      </c>
      <c r="G31" s="6" t="e">
        <f>#REF!+#REF!+#REF!+#REF!+#REF!+#REF!+#REF!+#REF!+#REF!+#REF!+#REF!+#REF!+#REF!+#REF!+#REF!+#REF!+#REF!+#REF!+#REF!+#REF!+#REF!+#REF!+#REF!+#REF!+#REF!+#REF!+#REF!+#REF!+#REF!+'01.10.19'!G31</f>
        <v>#REF!</v>
      </c>
      <c r="H31" s="6" t="e">
        <f>#REF!+#REF!+#REF!+#REF!+#REF!+#REF!+#REF!+#REF!+#REF!+#REF!+#REF!+#REF!+#REF!+#REF!+#REF!+#REF!+#REF!+#REF!+#REF!+#REF!+#REF!+#REF!+#REF!+#REF!+#REF!+#REF!+#REF!+#REF!+#REF!+'01.10.19'!H31</f>
        <v>#REF!</v>
      </c>
      <c r="I31" s="6" t="e">
        <f>#REF!+#REF!+#REF!+#REF!+#REF!+#REF!+#REF!+#REF!+#REF!+#REF!+#REF!+#REF!+#REF!+#REF!+#REF!+#REF!+#REF!+#REF!+#REF!+#REF!+#REF!+#REF!+#REF!+#REF!+#REF!+#REF!+#REF!+#REF!+#REF!+'01.10.19'!I31</f>
        <v>#REF!</v>
      </c>
      <c r="J31" s="6" t="e">
        <f>#REF!+#REF!+#REF!+#REF!+#REF!+#REF!+#REF!+#REF!+#REF!+#REF!+#REF!+#REF!+#REF!+#REF!+#REF!+#REF!+#REF!+#REF!+#REF!+#REF!+#REF!+#REF!+#REF!+#REF!+#REF!+#REF!+#REF!+#REF!+#REF!+'01.10.19'!J31</f>
        <v>#REF!</v>
      </c>
      <c r="K31" s="6" t="e">
        <f>#REF!+#REF!+#REF!+#REF!+#REF!+#REF!+#REF!+#REF!+#REF!+#REF!+#REF!+#REF!+#REF!+#REF!+#REF!+#REF!+#REF!+#REF!+#REF!+#REF!+#REF!+#REF!+#REF!+#REF!+#REF!+#REF!+#REF!+#REF!+#REF!+'01.10.19'!K31</f>
        <v>#REF!</v>
      </c>
      <c r="L31" s="6" t="e">
        <f>#REF!+#REF!+#REF!+#REF!+#REF!+#REF!+#REF!+#REF!+#REF!+#REF!+#REF!+#REF!+#REF!+#REF!+#REF!+#REF!+#REF!+#REF!+#REF!+#REF!+#REF!+#REF!+#REF!+#REF!+#REF!+#REF!+#REF!+#REF!+#REF!+'01.10.19'!L31</f>
        <v>#REF!</v>
      </c>
      <c r="M31" s="6" t="e">
        <f>#REF!+#REF!+#REF!+#REF!+#REF!+#REF!+#REF!+#REF!+#REF!+#REF!+#REF!+#REF!+#REF!+#REF!+#REF!+#REF!+#REF!+#REF!+#REF!+#REF!+#REF!+#REF!+#REF!+#REF!+#REF!+#REF!+#REF!+#REF!+#REF!+'01.10.19'!M31</f>
        <v>#REF!</v>
      </c>
      <c r="N31" s="6" t="e">
        <f>#REF!+#REF!+#REF!+#REF!+#REF!+#REF!+#REF!+#REF!+#REF!+#REF!+#REF!+#REF!+#REF!+#REF!+#REF!+#REF!+#REF!+#REF!+#REF!+#REF!+#REF!+#REF!+#REF!+#REF!+#REF!+#REF!+#REF!+#REF!+#REF!+'01.10.19'!N31</f>
        <v>#REF!</v>
      </c>
      <c r="O31" s="6" t="e">
        <f>#REF!+#REF!+#REF!+#REF!+#REF!+#REF!+#REF!+#REF!+#REF!+#REF!+#REF!+#REF!+#REF!+#REF!+#REF!+#REF!+#REF!+#REF!+#REF!+#REF!+#REF!+#REF!+#REF!+#REF!+#REF!+#REF!+#REF!+#REF!+#REF!+'01.10.19'!O31</f>
        <v>#REF!</v>
      </c>
      <c r="P31" s="6" t="e">
        <f>#REF!+#REF!+#REF!+#REF!+#REF!+#REF!+#REF!+#REF!+#REF!+#REF!+#REF!+#REF!+#REF!+#REF!+#REF!+#REF!+#REF!+#REF!+#REF!+#REF!+#REF!+#REF!+#REF!+#REF!+#REF!+#REF!+#REF!+#REF!+#REF!+'01.10.19'!P31</f>
        <v>#REF!</v>
      </c>
      <c r="Q31" s="7" t="e">
        <f t="shared" si="0"/>
        <v>#REF!</v>
      </c>
      <c r="R31" s="6" t="e">
        <f>#REF!+#REF!+#REF!+#REF!+#REF!+#REF!+#REF!+#REF!+#REF!+#REF!+#REF!+#REF!+#REF!+#REF!+#REF!+#REF!+#REF!+#REF!+#REF!+#REF!+#REF!+#REF!+#REF!+#REF!+#REF!+#REF!+#REF!+#REF!+#REF!+'01.10.19'!R31</f>
        <v>#REF!</v>
      </c>
      <c r="S31" s="6" t="e">
        <f t="shared" si="1"/>
        <v>#REF!</v>
      </c>
      <c r="T31" s="6">
        <v>-14100</v>
      </c>
      <c r="U31" s="6" t="e">
        <f t="shared" si="2"/>
        <v>#REF!</v>
      </c>
      <c r="V31" s="86">
        <v>320</v>
      </c>
      <c r="W31" s="57"/>
      <c r="X31" s="46"/>
      <c r="Y31" s="61"/>
      <c r="Z31" s="66"/>
      <c r="AA31" s="61"/>
      <c r="AB31" s="64"/>
      <c r="AC31" s="61"/>
      <c r="AD31" s="66"/>
      <c r="AE31" s="61"/>
      <c r="AF31" s="52">
        <f t="shared" si="3"/>
        <v>0</v>
      </c>
      <c r="AG31" s="46" t="e">
        <f t="shared" si="4"/>
        <v>#REF!</v>
      </c>
      <c r="AH31" s="51" t="e">
        <f t="shared" si="5"/>
        <v>#REF!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/>
      <c r="D32" s="6" t="e">
        <f>#REF!+#REF!+#REF!+#REF!+#REF!+#REF!+#REF!+#REF!+#REF!+#REF!+#REF!+#REF!+#REF!+#REF!+#REF!+#REF!+#REF!+#REF!+#REF!+#REF!+#REF!+#REF!+#REF!+#REF!+#REF!+#REF!+#REF!+#REF!+#REF!+'01.10.19'!D32</f>
        <v>#REF!</v>
      </c>
      <c r="E32" s="6" t="e">
        <f>#REF!+#REF!+#REF!+#REF!+#REF!+#REF!+#REF!+#REF!+#REF!+#REF!+#REF!+#REF!+#REF!+#REF!+#REF!+#REF!+#REF!+#REF!+#REF!+#REF!+#REF!+#REF!+#REF!+#REF!+#REF!+#REF!+#REF!+#REF!+#REF!+'01.10.19'!E32</f>
        <v>#REF!</v>
      </c>
      <c r="F32" s="6" t="e">
        <f>#REF!+#REF!+#REF!+#REF!+#REF!+#REF!+#REF!+#REF!+#REF!+#REF!+#REF!+#REF!+#REF!+#REF!+#REF!+#REF!+#REF!+#REF!+#REF!+#REF!+#REF!+#REF!+#REF!+#REF!+#REF!+#REF!+#REF!+#REF!+#REF!+'01.10.19'!F32</f>
        <v>#REF!</v>
      </c>
      <c r="G32" s="6" t="e">
        <f>#REF!+#REF!+#REF!+#REF!+#REF!+#REF!+#REF!+#REF!+#REF!+#REF!+#REF!+#REF!+#REF!+#REF!+#REF!+#REF!+#REF!+#REF!+#REF!+#REF!+#REF!+#REF!+#REF!+#REF!+#REF!+#REF!+#REF!+#REF!+#REF!+'01.10.19'!G32</f>
        <v>#REF!</v>
      </c>
      <c r="H32" s="6" t="e">
        <f>#REF!+#REF!+#REF!+#REF!+#REF!+#REF!+#REF!+#REF!+#REF!+#REF!+#REF!+#REF!+#REF!+#REF!+#REF!+#REF!+#REF!+#REF!+#REF!+#REF!+#REF!+#REF!+#REF!+#REF!+#REF!+#REF!+#REF!+#REF!+#REF!+'01.10.19'!H32</f>
        <v>#REF!</v>
      </c>
      <c r="I32" s="6" t="e">
        <f>#REF!+#REF!+#REF!+#REF!+#REF!+#REF!+#REF!+#REF!+#REF!+#REF!+#REF!+#REF!+#REF!+#REF!+#REF!+#REF!+#REF!+#REF!+#REF!+#REF!+#REF!+#REF!+#REF!+#REF!+#REF!+#REF!+#REF!+#REF!+#REF!+'01.10.19'!I32</f>
        <v>#REF!</v>
      </c>
      <c r="J32" s="6" t="e">
        <f>#REF!+#REF!+#REF!+#REF!+#REF!+#REF!+#REF!+#REF!+#REF!+#REF!+#REF!+#REF!+#REF!+#REF!+#REF!+#REF!+#REF!+#REF!+#REF!+#REF!+#REF!+#REF!+#REF!+#REF!+#REF!+#REF!+#REF!+#REF!+#REF!+'01.10.19'!J32</f>
        <v>#REF!</v>
      </c>
      <c r="K32" s="6" t="e">
        <f>#REF!+#REF!+#REF!+#REF!+#REF!+#REF!+#REF!+#REF!+#REF!+#REF!+#REF!+#REF!+#REF!+#REF!+#REF!+#REF!+#REF!+#REF!+#REF!+#REF!+#REF!+#REF!+#REF!+#REF!+#REF!+#REF!+#REF!+#REF!+#REF!+'01.10.19'!K32</f>
        <v>#REF!</v>
      </c>
      <c r="L32" s="6" t="e">
        <f>#REF!+#REF!+#REF!+#REF!+#REF!+#REF!+#REF!+#REF!+#REF!+#REF!+#REF!+#REF!+#REF!+#REF!+#REF!+#REF!+#REF!+#REF!+#REF!+#REF!+#REF!+#REF!+#REF!+#REF!+#REF!+#REF!+#REF!+#REF!+#REF!+'01.10.19'!L32</f>
        <v>#REF!</v>
      </c>
      <c r="M32" s="6" t="e">
        <f>#REF!+#REF!+#REF!+#REF!+#REF!+#REF!+#REF!+#REF!+#REF!+#REF!+#REF!+#REF!+#REF!+#REF!+#REF!+#REF!+#REF!+#REF!+#REF!+#REF!+#REF!+#REF!+#REF!+#REF!+#REF!+#REF!+#REF!+#REF!+#REF!+'01.10.19'!M32</f>
        <v>#REF!</v>
      </c>
      <c r="N32" s="6" t="e">
        <f>#REF!+#REF!+#REF!+#REF!+#REF!+#REF!+#REF!+#REF!+#REF!+#REF!+#REF!+#REF!+#REF!+#REF!+#REF!+#REF!+#REF!+#REF!+#REF!+#REF!+#REF!+#REF!+#REF!+#REF!+#REF!+#REF!+#REF!+#REF!+#REF!+'01.10.19'!N32</f>
        <v>#REF!</v>
      </c>
      <c r="O32" s="6" t="e">
        <f>#REF!+#REF!+#REF!+#REF!+#REF!+#REF!+#REF!+#REF!+#REF!+#REF!+#REF!+#REF!+#REF!+#REF!+#REF!+#REF!+#REF!+#REF!+#REF!+#REF!+#REF!+#REF!+#REF!+#REF!+#REF!+#REF!+#REF!+#REF!+#REF!+'01.10.19'!O32</f>
        <v>#REF!</v>
      </c>
      <c r="P32" s="6" t="e">
        <f>#REF!+#REF!+#REF!+#REF!+#REF!+#REF!+#REF!+#REF!+#REF!+#REF!+#REF!+#REF!+#REF!+#REF!+#REF!+#REF!+#REF!+#REF!+#REF!+#REF!+#REF!+#REF!+#REF!+#REF!+#REF!+#REF!+#REF!+#REF!+#REF!+'01.10.19'!P32</f>
        <v>#REF!</v>
      </c>
      <c r="Q32" s="7" t="e">
        <f>SUM(E32:P32)</f>
        <v>#REF!</v>
      </c>
      <c r="R32" s="6" t="e">
        <f>#REF!+#REF!+#REF!+#REF!+#REF!+#REF!+#REF!+#REF!+#REF!+#REF!+#REF!+#REF!+#REF!+#REF!+#REF!+#REF!+#REF!+#REF!+#REF!+#REF!+#REF!+#REF!+#REF!+#REF!+#REF!+#REF!+#REF!+#REF!+#REF!+'01.10.19'!R32</f>
        <v>#REF!</v>
      </c>
      <c r="S32" s="6" t="e">
        <f t="shared" si="1"/>
        <v>#REF!</v>
      </c>
      <c r="T32" s="6">
        <f>-12440-200</f>
        <v>-12640</v>
      </c>
      <c r="U32" s="6" t="e">
        <f t="shared" si="2"/>
        <v>#REF!</v>
      </c>
      <c r="V32" s="15">
        <v>1820</v>
      </c>
      <c r="W32" s="57"/>
      <c r="X32" s="46"/>
      <c r="Y32" s="61"/>
      <c r="Z32" s="66"/>
      <c r="AA32" s="61"/>
      <c r="AB32" s="67"/>
      <c r="AC32" s="61"/>
      <c r="AD32" s="66"/>
      <c r="AE32" s="61"/>
      <c r="AF32" s="52">
        <f t="shared" si="3"/>
        <v>0</v>
      </c>
      <c r="AG32" s="46" t="e">
        <f t="shared" si="4"/>
        <v>#REF!</v>
      </c>
      <c r="AH32" s="51" t="e">
        <f t="shared" si="5"/>
        <v>#REF!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/>
      <c r="D33" s="6" t="e">
        <f>#REF!+#REF!+#REF!+#REF!+#REF!+#REF!+#REF!+#REF!+#REF!+#REF!+#REF!+#REF!+#REF!+#REF!+#REF!+#REF!+#REF!+#REF!+#REF!+#REF!+#REF!+#REF!+#REF!+#REF!+#REF!+#REF!+#REF!+#REF!+#REF!+'01.10.19'!D33</f>
        <v>#REF!</v>
      </c>
      <c r="E33" s="6" t="e">
        <f>#REF!+#REF!+#REF!+#REF!+#REF!+#REF!+#REF!+#REF!+#REF!+#REF!+#REF!+#REF!+#REF!+#REF!+#REF!+#REF!+#REF!+#REF!+#REF!+#REF!+#REF!+#REF!+#REF!+#REF!+#REF!+#REF!+#REF!+#REF!+#REF!+'01.10.19'!E33</f>
        <v>#REF!</v>
      </c>
      <c r="F33" s="6" t="e">
        <f>#REF!+#REF!+#REF!+#REF!+#REF!+#REF!+#REF!+#REF!+#REF!+#REF!+#REF!+#REF!+#REF!+#REF!+#REF!+#REF!+#REF!+#REF!+#REF!+#REF!+#REF!+#REF!+#REF!+#REF!+#REF!+#REF!+#REF!+#REF!+#REF!+'01.10.19'!F33</f>
        <v>#REF!</v>
      </c>
      <c r="G33" s="6" t="e">
        <f>#REF!+#REF!+#REF!+#REF!+#REF!+#REF!+#REF!+#REF!+#REF!+#REF!+#REF!+#REF!+#REF!+#REF!+#REF!+#REF!+#REF!+#REF!+#REF!+#REF!+#REF!+#REF!+#REF!+#REF!+#REF!+#REF!+#REF!+#REF!+#REF!+'01.10.19'!G33</f>
        <v>#REF!</v>
      </c>
      <c r="H33" s="6" t="e">
        <f>#REF!+#REF!+#REF!+#REF!+#REF!+#REF!+#REF!+#REF!+#REF!+#REF!+#REF!+#REF!+#REF!+#REF!+#REF!+#REF!+#REF!+#REF!+#REF!+#REF!+#REF!+#REF!+#REF!+#REF!+#REF!+#REF!+#REF!+#REF!+#REF!+'01.10.19'!H33</f>
        <v>#REF!</v>
      </c>
      <c r="I33" s="6" t="e">
        <f>#REF!+#REF!+#REF!+#REF!+#REF!+#REF!+#REF!+#REF!+#REF!+#REF!+#REF!+#REF!+#REF!+#REF!+#REF!+#REF!+#REF!+#REF!+#REF!+#REF!+#REF!+#REF!+#REF!+#REF!+#REF!+#REF!+#REF!+#REF!+#REF!+'01.10.19'!I33</f>
        <v>#REF!</v>
      </c>
      <c r="J33" s="6" t="e">
        <f>#REF!+#REF!+#REF!+#REF!+#REF!+#REF!+#REF!+#REF!+#REF!+#REF!+#REF!+#REF!+#REF!+#REF!+#REF!+#REF!+#REF!+#REF!+#REF!+#REF!+#REF!+#REF!+#REF!+#REF!+#REF!+#REF!+#REF!+#REF!+#REF!+'01.10.19'!J33</f>
        <v>#REF!</v>
      </c>
      <c r="K33" s="6" t="e">
        <f>#REF!+#REF!+#REF!+#REF!+#REF!+#REF!+#REF!+#REF!+#REF!+#REF!+#REF!+#REF!+#REF!+#REF!+#REF!+#REF!+#REF!+#REF!+#REF!+#REF!+#REF!+#REF!+#REF!+#REF!+#REF!+#REF!+#REF!+#REF!+#REF!+'01.10.19'!K33</f>
        <v>#REF!</v>
      </c>
      <c r="L33" s="6" t="e">
        <f>#REF!+#REF!+#REF!+#REF!+#REF!+#REF!+#REF!+#REF!+#REF!+#REF!+#REF!+#REF!+#REF!+#REF!+#REF!+#REF!+#REF!+#REF!+#REF!+#REF!+#REF!+#REF!+#REF!+#REF!+#REF!+#REF!+#REF!+#REF!+#REF!+'01.10.19'!L33</f>
        <v>#REF!</v>
      </c>
      <c r="M33" s="6" t="e">
        <f>#REF!+#REF!+#REF!+#REF!+#REF!+#REF!+#REF!+#REF!+#REF!+#REF!+#REF!+#REF!+#REF!+#REF!+#REF!+#REF!+#REF!+#REF!+#REF!+#REF!+#REF!+#REF!+#REF!+#REF!+#REF!+#REF!+#REF!+#REF!+#REF!+'01.10.19'!M33</f>
        <v>#REF!</v>
      </c>
      <c r="N33" s="6" t="e">
        <f>#REF!+#REF!+#REF!+#REF!+#REF!+#REF!+#REF!+#REF!+#REF!+#REF!+#REF!+#REF!+#REF!+#REF!+#REF!+#REF!+#REF!+#REF!+#REF!+#REF!+#REF!+#REF!+#REF!+#REF!+#REF!+#REF!+#REF!+#REF!+#REF!+'01.10.19'!N33</f>
        <v>#REF!</v>
      </c>
      <c r="O33" s="6" t="e">
        <f>#REF!+#REF!+#REF!+#REF!+#REF!+#REF!+#REF!+#REF!+#REF!+#REF!+#REF!+#REF!+#REF!+#REF!+#REF!+#REF!+#REF!+#REF!+#REF!+#REF!+#REF!+#REF!+#REF!+#REF!+#REF!+#REF!+#REF!+#REF!+#REF!+'01.10.19'!O33</f>
        <v>#REF!</v>
      </c>
      <c r="P33" s="6" t="e">
        <f>#REF!+#REF!+#REF!+#REF!+#REF!+#REF!+#REF!+#REF!+#REF!+#REF!+#REF!+#REF!+#REF!+#REF!+#REF!+#REF!+#REF!+#REF!+#REF!+#REF!+#REF!+#REF!+#REF!+#REF!+#REF!+#REF!+#REF!+#REF!+#REF!+'01.10.19'!P33</f>
        <v>#REF!</v>
      </c>
      <c r="Q33" s="7" t="e">
        <f t="shared" si="0"/>
        <v>#REF!</v>
      </c>
      <c r="R33" s="6" t="e">
        <f>#REF!+#REF!+#REF!+#REF!+#REF!+#REF!+#REF!+#REF!+#REF!+#REF!+#REF!+#REF!+#REF!+#REF!+#REF!+#REF!+#REF!+#REF!+#REF!+#REF!+#REF!+#REF!+#REF!+#REF!+#REF!+#REF!+#REF!+#REF!+#REF!+'01.10.19'!R33</f>
        <v>#REF!</v>
      </c>
      <c r="S33" s="6" t="e">
        <f t="shared" si="1"/>
        <v>#REF!</v>
      </c>
      <c r="T33" s="6">
        <v>2500</v>
      </c>
      <c r="U33" s="6" t="e">
        <f t="shared" si="2"/>
        <v>#REF!</v>
      </c>
      <c r="V33" s="86"/>
      <c r="W33" s="57"/>
      <c r="X33" s="46"/>
      <c r="Y33" s="61"/>
      <c r="Z33" s="66"/>
      <c r="AA33" s="61"/>
      <c r="AB33" s="67"/>
      <c r="AC33" s="61"/>
      <c r="AD33" s="66"/>
      <c r="AE33" s="61"/>
      <c r="AF33" s="52">
        <f t="shared" si="3"/>
        <v>0</v>
      </c>
      <c r="AG33" s="46" t="e">
        <f t="shared" si="4"/>
        <v>#REF!</v>
      </c>
      <c r="AH33" s="51" t="e">
        <f t="shared" si="5"/>
        <v>#REF!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/>
      <c r="D34" s="6" t="e">
        <f>#REF!+#REF!+#REF!+#REF!+#REF!+#REF!+#REF!+#REF!+#REF!+#REF!+#REF!+#REF!+#REF!+#REF!+#REF!+#REF!+#REF!+#REF!+#REF!+#REF!+#REF!+#REF!+#REF!+#REF!+#REF!+#REF!+#REF!+#REF!+#REF!+'01.10.19'!D34</f>
        <v>#REF!</v>
      </c>
      <c r="E34" s="6" t="e">
        <f>#REF!+#REF!+#REF!+#REF!+#REF!+#REF!+#REF!+#REF!+#REF!+#REF!+#REF!+#REF!+#REF!+#REF!+#REF!+#REF!+#REF!+#REF!+#REF!+#REF!+#REF!+#REF!+#REF!+#REF!+#REF!+#REF!+#REF!+#REF!+#REF!+'01.10.19'!E34</f>
        <v>#REF!</v>
      </c>
      <c r="F34" s="6" t="e">
        <f>#REF!+#REF!+#REF!+#REF!+#REF!+#REF!+#REF!+#REF!+#REF!+#REF!+#REF!+#REF!+#REF!+#REF!+#REF!+#REF!+#REF!+#REF!+#REF!+#REF!+#REF!+#REF!+#REF!+#REF!+#REF!+#REF!+#REF!+#REF!+#REF!+'01.10.19'!F34</f>
        <v>#REF!</v>
      </c>
      <c r="G34" s="6" t="e">
        <f>#REF!+#REF!+#REF!+#REF!+#REF!+#REF!+#REF!+#REF!+#REF!+#REF!+#REF!+#REF!+#REF!+#REF!+#REF!+#REF!+#REF!+#REF!+#REF!+#REF!+#REF!+#REF!+#REF!+#REF!+#REF!+#REF!+#REF!+#REF!+#REF!+'01.10.19'!G34</f>
        <v>#REF!</v>
      </c>
      <c r="H34" s="6" t="e">
        <f>#REF!+#REF!+#REF!+#REF!+#REF!+#REF!+#REF!+#REF!+#REF!+#REF!+#REF!+#REF!+#REF!+#REF!+#REF!+#REF!+#REF!+#REF!+#REF!+#REF!+#REF!+#REF!+#REF!+#REF!+#REF!+#REF!+#REF!+#REF!+#REF!+'01.10.19'!H34</f>
        <v>#REF!</v>
      </c>
      <c r="I34" s="6" t="e">
        <f>#REF!+#REF!+#REF!+#REF!+#REF!+#REF!+#REF!+#REF!+#REF!+#REF!+#REF!+#REF!+#REF!+#REF!+#REF!+#REF!+#REF!+#REF!+#REF!+#REF!+#REF!+#REF!+#REF!+#REF!+#REF!+#REF!+#REF!+#REF!+#REF!+'01.10.19'!I34</f>
        <v>#REF!</v>
      </c>
      <c r="J34" s="6" t="e">
        <f>#REF!+#REF!+#REF!+#REF!+#REF!+#REF!+#REF!+#REF!+#REF!+#REF!+#REF!+#REF!+#REF!+#REF!+#REF!+#REF!+#REF!+#REF!+#REF!+#REF!+#REF!+#REF!+#REF!+#REF!+#REF!+#REF!+#REF!+#REF!+#REF!+'01.10.19'!J34</f>
        <v>#REF!</v>
      </c>
      <c r="K34" s="6" t="e">
        <f>#REF!+#REF!+#REF!+#REF!+#REF!+#REF!+#REF!+#REF!+#REF!+#REF!+#REF!+#REF!+#REF!+#REF!+#REF!+#REF!+#REF!+#REF!+#REF!+#REF!+#REF!+#REF!+#REF!+#REF!+#REF!+#REF!+#REF!+#REF!+#REF!+'01.10.19'!K34</f>
        <v>#REF!</v>
      </c>
      <c r="L34" s="6" t="e">
        <f>#REF!+#REF!+#REF!+#REF!+#REF!+#REF!+#REF!+#REF!+#REF!+#REF!+#REF!+#REF!+#REF!+#REF!+#REF!+#REF!+#REF!+#REF!+#REF!+#REF!+#REF!+#REF!+#REF!+#REF!+#REF!+#REF!+#REF!+#REF!+#REF!+'01.10.19'!L34</f>
        <v>#REF!</v>
      </c>
      <c r="M34" s="6" t="e">
        <f>#REF!+#REF!+#REF!+#REF!+#REF!+#REF!+#REF!+#REF!+#REF!+#REF!+#REF!+#REF!+#REF!+#REF!+#REF!+#REF!+#REF!+#REF!+#REF!+#REF!+#REF!+#REF!+#REF!+#REF!+#REF!+#REF!+#REF!+#REF!+#REF!+'01.10.19'!M34</f>
        <v>#REF!</v>
      </c>
      <c r="N34" s="6" t="e">
        <f>#REF!+#REF!+#REF!+#REF!+#REF!+#REF!+#REF!+#REF!+#REF!+#REF!+#REF!+#REF!+#REF!+#REF!+#REF!+#REF!+#REF!+#REF!+#REF!+#REF!+#REF!+#REF!+#REF!+#REF!+#REF!+#REF!+#REF!+#REF!+#REF!+'01.10.19'!N34</f>
        <v>#REF!</v>
      </c>
      <c r="O34" s="6" t="e">
        <f>#REF!+#REF!+#REF!+#REF!+#REF!+#REF!+#REF!+#REF!+#REF!+#REF!+#REF!+#REF!+#REF!+#REF!+#REF!+#REF!+#REF!+#REF!+#REF!+#REF!+#REF!+#REF!+#REF!+#REF!+#REF!+#REF!+#REF!+#REF!+#REF!+'01.10.19'!O34</f>
        <v>#REF!</v>
      </c>
      <c r="P34" s="6" t="e">
        <f>#REF!+#REF!+#REF!+#REF!+#REF!+#REF!+#REF!+#REF!+#REF!+#REF!+#REF!+#REF!+#REF!+#REF!+#REF!+#REF!+#REF!+#REF!+#REF!+#REF!+#REF!+#REF!+#REF!+#REF!+#REF!+#REF!+#REF!+#REF!+#REF!+'01.10.19'!P34</f>
        <v>#REF!</v>
      </c>
      <c r="Q34" s="7" t="e">
        <f t="shared" si="0"/>
        <v>#REF!</v>
      </c>
      <c r="R34" s="6" t="e">
        <f>#REF!+#REF!+#REF!+#REF!+#REF!+#REF!+#REF!+#REF!+#REF!+#REF!+#REF!+#REF!+#REF!+#REF!+#REF!+#REF!+#REF!+#REF!+#REF!+#REF!+#REF!+#REF!+#REF!+#REF!+#REF!+#REF!+#REF!+#REF!+#REF!+'01.10.19'!R34</f>
        <v>#REF!</v>
      </c>
      <c r="S34" s="6" t="e">
        <f t="shared" si="1"/>
        <v>#REF!</v>
      </c>
      <c r="T34" s="6">
        <v>2900</v>
      </c>
      <c r="U34" s="6" t="e">
        <f t="shared" si="2"/>
        <v>#REF!</v>
      </c>
      <c r="V34" s="86">
        <v>220</v>
      </c>
      <c r="W34" s="57"/>
      <c r="X34" s="46"/>
      <c r="Y34" s="61"/>
      <c r="Z34" s="47"/>
      <c r="AA34" s="61"/>
      <c r="AB34" s="67"/>
      <c r="AC34" s="61"/>
      <c r="AD34" s="66"/>
      <c r="AE34" s="61"/>
      <c r="AF34" s="52">
        <f t="shared" si="3"/>
        <v>0</v>
      </c>
      <c r="AG34" s="46" t="e">
        <f t="shared" si="4"/>
        <v>#REF!</v>
      </c>
      <c r="AH34" s="51" t="e">
        <f t="shared" si="5"/>
        <v>#REF!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/>
      <c r="D35" s="6" t="e">
        <f>#REF!+#REF!+#REF!+#REF!+#REF!+#REF!+#REF!+#REF!+#REF!+#REF!+#REF!+#REF!+#REF!+#REF!+#REF!+#REF!+#REF!+#REF!+#REF!+#REF!+#REF!+#REF!+#REF!+#REF!+#REF!+#REF!+#REF!+#REF!+#REF!+'01.10.19'!D35</f>
        <v>#REF!</v>
      </c>
      <c r="E35" s="6" t="e">
        <f>#REF!+#REF!+#REF!+#REF!+#REF!+#REF!+#REF!+#REF!+#REF!+#REF!+#REF!+#REF!+#REF!+#REF!+#REF!+#REF!+#REF!+#REF!+#REF!+#REF!+#REF!+#REF!+#REF!+#REF!+#REF!+#REF!+#REF!+#REF!+#REF!+'01.10.19'!E35</f>
        <v>#REF!</v>
      </c>
      <c r="F35" s="6" t="e">
        <f>#REF!+#REF!+#REF!+#REF!+#REF!+#REF!+#REF!+#REF!+#REF!+#REF!+#REF!+#REF!+#REF!+#REF!+#REF!+#REF!+#REF!+#REF!+#REF!+#REF!+#REF!+#REF!+#REF!+#REF!+#REF!+#REF!+#REF!+#REF!+#REF!+'01.10.19'!F35</f>
        <v>#REF!</v>
      </c>
      <c r="G35" s="6" t="e">
        <f>#REF!+#REF!+#REF!+#REF!+#REF!+#REF!+#REF!+#REF!+#REF!+#REF!+#REF!+#REF!+#REF!+#REF!+#REF!+#REF!+#REF!+#REF!+#REF!+#REF!+#REF!+#REF!+#REF!+#REF!+#REF!+#REF!+#REF!+#REF!+#REF!+'01.10.19'!G35</f>
        <v>#REF!</v>
      </c>
      <c r="H35" s="6" t="e">
        <f>#REF!+#REF!+#REF!+#REF!+#REF!+#REF!+#REF!+#REF!+#REF!+#REF!+#REF!+#REF!+#REF!+#REF!+#REF!+#REF!+#REF!+#REF!+#REF!+#REF!+#REF!+#REF!+#REF!+#REF!+#REF!+#REF!+#REF!+#REF!+#REF!+'01.10.19'!H35</f>
        <v>#REF!</v>
      </c>
      <c r="I35" s="6" t="e">
        <f>#REF!+#REF!+#REF!+#REF!+#REF!+#REF!+#REF!+#REF!+#REF!+#REF!+#REF!+#REF!+#REF!+#REF!+#REF!+#REF!+#REF!+#REF!+#REF!+#REF!+#REF!+#REF!+#REF!+#REF!+#REF!+#REF!+#REF!+#REF!+#REF!+'01.10.19'!I35</f>
        <v>#REF!</v>
      </c>
      <c r="J35" s="6" t="e">
        <f>#REF!+#REF!+#REF!+#REF!+#REF!+#REF!+#REF!+#REF!+#REF!+#REF!+#REF!+#REF!+#REF!+#REF!+#REF!+#REF!+#REF!+#REF!+#REF!+#REF!+#REF!+#REF!+#REF!+#REF!+#REF!+#REF!+#REF!+#REF!+#REF!+'01.10.19'!J35</f>
        <v>#REF!</v>
      </c>
      <c r="K35" s="6" t="e">
        <f>#REF!+#REF!+#REF!+#REF!+#REF!+#REF!+#REF!+#REF!+#REF!+#REF!+#REF!+#REF!+#REF!+#REF!+#REF!+#REF!+#REF!+#REF!+#REF!+#REF!+#REF!+#REF!+#REF!+#REF!+#REF!+#REF!+#REF!+#REF!+#REF!+'01.10.19'!K35</f>
        <v>#REF!</v>
      </c>
      <c r="L35" s="6" t="e">
        <f>#REF!+#REF!+#REF!+#REF!+#REF!+#REF!+#REF!+#REF!+#REF!+#REF!+#REF!+#REF!+#REF!+#REF!+#REF!+#REF!+#REF!+#REF!+#REF!+#REF!+#REF!+#REF!+#REF!+#REF!+#REF!+#REF!+#REF!+#REF!+#REF!+'01.10.19'!L35</f>
        <v>#REF!</v>
      </c>
      <c r="M35" s="6" t="e">
        <f>#REF!+#REF!+#REF!+#REF!+#REF!+#REF!+#REF!+#REF!+#REF!+#REF!+#REF!+#REF!+#REF!+#REF!+#REF!+#REF!+#REF!+#REF!+#REF!+#REF!+#REF!+#REF!+#REF!+#REF!+#REF!+#REF!+#REF!+#REF!+#REF!+'01.10.19'!M35</f>
        <v>#REF!</v>
      </c>
      <c r="N35" s="6" t="e">
        <f>#REF!+#REF!+#REF!+#REF!+#REF!+#REF!+#REF!+#REF!+#REF!+#REF!+#REF!+#REF!+#REF!+#REF!+#REF!+#REF!+#REF!+#REF!+#REF!+#REF!+#REF!+#REF!+#REF!+#REF!+#REF!+#REF!+#REF!+#REF!+#REF!+'01.10.19'!N35</f>
        <v>#REF!</v>
      </c>
      <c r="O35" s="6" t="e">
        <f>#REF!+#REF!+#REF!+#REF!+#REF!+#REF!+#REF!+#REF!+#REF!+#REF!+#REF!+#REF!+#REF!+#REF!+#REF!+#REF!+#REF!+#REF!+#REF!+#REF!+#REF!+#REF!+#REF!+#REF!+#REF!+#REF!+#REF!+#REF!+#REF!+'01.10.19'!O35</f>
        <v>#REF!</v>
      </c>
      <c r="P35" s="6" t="e">
        <f>#REF!+#REF!+#REF!+#REF!+#REF!+#REF!+#REF!+#REF!+#REF!+#REF!+#REF!+#REF!+#REF!+#REF!+#REF!+#REF!+#REF!+#REF!+#REF!+#REF!+#REF!+#REF!+#REF!+#REF!+#REF!+#REF!+#REF!+#REF!+#REF!+'01.10.19'!P35</f>
        <v>#REF!</v>
      </c>
      <c r="Q35" s="7" t="e">
        <f t="shared" si="0"/>
        <v>#REF!</v>
      </c>
      <c r="R35" s="6" t="e">
        <f>#REF!+#REF!+#REF!+#REF!+#REF!+#REF!+#REF!+#REF!+#REF!+#REF!+#REF!+#REF!+#REF!+#REF!+#REF!+#REF!+#REF!+#REF!+#REF!+#REF!+#REF!+#REF!+#REF!+#REF!+#REF!+#REF!+#REF!+#REF!+#REF!+'01.10.19'!R35</f>
        <v>#REF!</v>
      </c>
      <c r="S35" s="6" t="e">
        <f t="shared" si="1"/>
        <v>#REF!</v>
      </c>
      <c r="T35" s="6">
        <v>-800</v>
      </c>
      <c r="U35" s="6" t="e">
        <f t="shared" si="2"/>
        <v>#REF!</v>
      </c>
      <c r="V35" s="58">
        <v>100</v>
      </c>
      <c r="W35" s="57"/>
      <c r="X35" s="46"/>
      <c r="Y35" s="61"/>
      <c r="Z35" s="66"/>
      <c r="AA35" s="61"/>
      <c r="AB35" s="67"/>
      <c r="AC35" s="61"/>
      <c r="AD35" s="66"/>
      <c r="AE35" s="61"/>
      <c r="AF35" s="52">
        <f t="shared" si="3"/>
        <v>0</v>
      </c>
      <c r="AG35" s="46" t="e">
        <f t="shared" si="4"/>
        <v>#REF!</v>
      </c>
      <c r="AH35" s="51" t="e">
        <f t="shared" si="5"/>
        <v>#REF!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/>
      <c r="D36" s="6" t="e">
        <f>#REF!+#REF!+#REF!+#REF!+#REF!+#REF!+#REF!+#REF!+#REF!+#REF!+#REF!+#REF!+#REF!+#REF!+#REF!+#REF!+#REF!+#REF!+#REF!+#REF!+#REF!+#REF!+#REF!+#REF!+#REF!+#REF!+#REF!+#REF!+#REF!+'01.10.19'!D36</f>
        <v>#REF!</v>
      </c>
      <c r="E36" s="6" t="e">
        <f>#REF!+#REF!+#REF!+#REF!+#REF!+#REF!+#REF!+#REF!+#REF!+#REF!+#REF!+#REF!+#REF!+#REF!+#REF!+#REF!+#REF!+#REF!+#REF!+#REF!+#REF!+#REF!+#REF!+#REF!+#REF!+#REF!+#REF!+#REF!+#REF!+'01.10.19'!E36</f>
        <v>#REF!</v>
      </c>
      <c r="F36" s="6" t="e">
        <f>#REF!+#REF!+#REF!+#REF!+#REF!+#REF!+#REF!+#REF!+#REF!+#REF!+#REF!+#REF!+#REF!+#REF!+#REF!+#REF!+#REF!+#REF!+#REF!+#REF!+#REF!+#REF!+#REF!+#REF!+#REF!+#REF!+#REF!+#REF!+#REF!+'01.10.19'!F36</f>
        <v>#REF!</v>
      </c>
      <c r="G36" s="6" t="e">
        <f>#REF!+#REF!+#REF!+#REF!+#REF!+#REF!+#REF!+#REF!+#REF!+#REF!+#REF!+#REF!+#REF!+#REF!+#REF!+#REF!+#REF!+#REF!+#REF!+#REF!+#REF!+#REF!+#REF!+#REF!+#REF!+#REF!+#REF!+#REF!+#REF!+'01.10.19'!G36</f>
        <v>#REF!</v>
      </c>
      <c r="H36" s="6" t="e">
        <f>#REF!+#REF!+#REF!+#REF!+#REF!+#REF!+#REF!+#REF!+#REF!+#REF!+#REF!+#REF!+#REF!+#REF!+#REF!+#REF!+#REF!+#REF!+#REF!+#REF!+#REF!+#REF!+#REF!+#REF!+#REF!+#REF!+#REF!+#REF!+#REF!+'01.10.19'!H36</f>
        <v>#REF!</v>
      </c>
      <c r="I36" s="6" t="e">
        <f>#REF!+#REF!+#REF!+#REF!+#REF!+#REF!+#REF!+#REF!+#REF!+#REF!+#REF!+#REF!+#REF!+#REF!+#REF!+#REF!+#REF!+#REF!+#REF!+#REF!+#REF!+#REF!+#REF!+#REF!+#REF!+#REF!+#REF!+#REF!+#REF!+'01.10.19'!I36</f>
        <v>#REF!</v>
      </c>
      <c r="J36" s="6" t="e">
        <f>#REF!+#REF!+#REF!+#REF!+#REF!+#REF!+#REF!+#REF!+#REF!+#REF!+#REF!+#REF!+#REF!+#REF!+#REF!+#REF!+#REF!+#REF!+#REF!+#REF!+#REF!+#REF!+#REF!+#REF!+#REF!+#REF!+#REF!+#REF!+#REF!+'01.10.19'!J36</f>
        <v>#REF!</v>
      </c>
      <c r="K36" s="6" t="e">
        <f>#REF!+#REF!+#REF!+#REF!+#REF!+#REF!+#REF!+#REF!+#REF!+#REF!+#REF!+#REF!+#REF!+#REF!+#REF!+#REF!+#REF!+#REF!+#REF!+#REF!+#REF!+#REF!+#REF!+#REF!+#REF!+#REF!+#REF!+#REF!+#REF!+'01.10.19'!K36</f>
        <v>#REF!</v>
      </c>
      <c r="L36" s="6" t="e">
        <f>#REF!+#REF!+#REF!+#REF!+#REF!+#REF!+#REF!+#REF!+#REF!+#REF!+#REF!+#REF!+#REF!+#REF!+#REF!+#REF!+#REF!+#REF!+#REF!+#REF!+#REF!+#REF!+#REF!+#REF!+#REF!+#REF!+#REF!+#REF!+#REF!+'01.10.19'!L36</f>
        <v>#REF!</v>
      </c>
      <c r="M36" s="6" t="e">
        <f>#REF!+#REF!+#REF!+#REF!+#REF!+#REF!+#REF!+#REF!+#REF!+#REF!+#REF!+#REF!+#REF!+#REF!+#REF!+#REF!+#REF!+#REF!+#REF!+#REF!+#REF!+#REF!+#REF!+#REF!+#REF!+#REF!+#REF!+#REF!+#REF!+'01.10.19'!M36</f>
        <v>#REF!</v>
      </c>
      <c r="N36" s="6" t="e">
        <f>#REF!+#REF!+#REF!+#REF!+#REF!+#REF!+#REF!+#REF!+#REF!+#REF!+#REF!+#REF!+#REF!+#REF!+#REF!+#REF!+#REF!+#REF!+#REF!+#REF!+#REF!+#REF!+#REF!+#REF!+#REF!+#REF!+#REF!+#REF!+#REF!+'01.10.19'!N36</f>
        <v>#REF!</v>
      </c>
      <c r="O36" s="6" t="e">
        <f>#REF!+#REF!+#REF!+#REF!+#REF!+#REF!+#REF!+#REF!+#REF!+#REF!+#REF!+#REF!+#REF!+#REF!+#REF!+#REF!+#REF!+#REF!+#REF!+#REF!+#REF!+#REF!+#REF!+#REF!+#REF!+#REF!+#REF!+#REF!+#REF!+'01.10.19'!O36</f>
        <v>#REF!</v>
      </c>
      <c r="P36" s="6" t="e">
        <f>#REF!+#REF!+#REF!+#REF!+#REF!+#REF!+#REF!+#REF!+#REF!+#REF!+#REF!+#REF!+#REF!+#REF!+#REF!+#REF!+#REF!+#REF!+#REF!+#REF!+#REF!+#REF!+#REF!+#REF!+#REF!+#REF!+#REF!+#REF!+#REF!+'01.10.19'!P36</f>
        <v>#REF!</v>
      </c>
      <c r="Q36" s="7" t="e">
        <f t="shared" si="0"/>
        <v>#REF!</v>
      </c>
      <c r="R36" s="6" t="e">
        <f>#REF!+#REF!+#REF!+#REF!+#REF!+#REF!+#REF!+#REF!+#REF!+#REF!+#REF!+#REF!+#REF!+#REF!+#REF!+#REF!+#REF!+#REF!+#REF!+#REF!+#REF!+#REF!+#REF!+#REF!+#REF!+#REF!+#REF!+#REF!+#REF!+'01.10.19'!R36</f>
        <v>#REF!</v>
      </c>
      <c r="S36" s="6" t="e">
        <f t="shared" si="1"/>
        <v>#REF!</v>
      </c>
      <c r="T36" s="6">
        <v>-560</v>
      </c>
      <c r="U36" s="6" t="e">
        <f t="shared" si="2"/>
        <v>#REF!</v>
      </c>
      <c r="V36" s="86">
        <v>50</v>
      </c>
      <c r="W36" s="57"/>
      <c r="X36" s="46"/>
      <c r="Y36" s="61"/>
      <c r="Z36" s="66"/>
      <c r="AA36" s="61"/>
      <c r="AB36" s="64"/>
      <c r="AC36" s="61"/>
      <c r="AD36" s="66"/>
      <c r="AE36" s="61"/>
      <c r="AF36" s="52">
        <f t="shared" si="3"/>
        <v>0</v>
      </c>
      <c r="AG36" s="46" t="e">
        <f t="shared" si="4"/>
        <v>#REF!</v>
      </c>
      <c r="AH36" s="51" t="e">
        <f t="shared" si="5"/>
        <v>#REF!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/>
      <c r="D37" s="6" t="e">
        <f>#REF!+#REF!+#REF!+#REF!+#REF!+#REF!+#REF!+#REF!+#REF!+#REF!+#REF!+#REF!+#REF!+#REF!+#REF!+#REF!+#REF!+#REF!+#REF!+#REF!+#REF!+#REF!+#REF!+#REF!+#REF!+#REF!+#REF!+#REF!+#REF!+'01.10.19'!D37</f>
        <v>#REF!</v>
      </c>
      <c r="E37" s="6" t="e">
        <f>#REF!+#REF!+#REF!+#REF!+#REF!+#REF!+#REF!+#REF!+#REF!+#REF!+#REF!+#REF!+#REF!+#REF!+#REF!+#REF!+#REF!+#REF!+#REF!+#REF!+#REF!+#REF!+#REF!+#REF!+#REF!+#REF!+#REF!+#REF!+#REF!+'01.10.19'!E37</f>
        <v>#REF!</v>
      </c>
      <c r="F37" s="6" t="e">
        <f>#REF!+#REF!+#REF!+#REF!+#REF!+#REF!+#REF!+#REF!+#REF!+#REF!+#REF!+#REF!+#REF!+#REF!+#REF!+#REF!+#REF!+#REF!+#REF!+#REF!+#REF!+#REF!+#REF!+#REF!+#REF!+#REF!+#REF!+#REF!+#REF!+'01.10.19'!F37</f>
        <v>#REF!</v>
      </c>
      <c r="G37" s="6" t="e">
        <f>#REF!+#REF!+#REF!+#REF!+#REF!+#REF!+#REF!+#REF!+#REF!+#REF!+#REF!+#REF!+#REF!+#REF!+#REF!+#REF!+#REF!+#REF!+#REF!+#REF!+#REF!+#REF!+#REF!+#REF!+#REF!+#REF!+#REF!+#REF!+#REF!+'01.10.19'!G37</f>
        <v>#REF!</v>
      </c>
      <c r="H37" s="6" t="e">
        <f>#REF!+#REF!+#REF!+#REF!+#REF!+#REF!+#REF!+#REF!+#REF!+#REF!+#REF!+#REF!+#REF!+#REF!+#REF!+#REF!+#REF!+#REF!+#REF!+#REF!+#REF!+#REF!+#REF!+#REF!+#REF!+#REF!+#REF!+#REF!+#REF!+'01.10.19'!H37</f>
        <v>#REF!</v>
      </c>
      <c r="I37" s="6" t="e">
        <f>#REF!+#REF!+#REF!+#REF!+#REF!+#REF!+#REF!+#REF!+#REF!+#REF!+#REF!+#REF!+#REF!+#REF!+#REF!+#REF!+#REF!+#REF!+#REF!+#REF!+#REF!+#REF!+#REF!+#REF!+#REF!+#REF!+#REF!+#REF!+#REF!+'01.10.19'!I37</f>
        <v>#REF!</v>
      </c>
      <c r="J37" s="6" t="e">
        <f>#REF!+#REF!+#REF!+#REF!+#REF!+#REF!+#REF!+#REF!+#REF!+#REF!+#REF!+#REF!+#REF!+#REF!+#REF!+#REF!+#REF!+#REF!+#REF!+#REF!+#REF!+#REF!+#REF!+#REF!+#REF!+#REF!+#REF!+#REF!+#REF!+'01.10.19'!J37</f>
        <v>#REF!</v>
      </c>
      <c r="K37" s="6" t="e">
        <f>#REF!+#REF!+#REF!+#REF!+#REF!+#REF!+#REF!+#REF!+#REF!+#REF!+#REF!+#REF!+#REF!+#REF!+#REF!+#REF!+#REF!+#REF!+#REF!+#REF!+#REF!+#REF!+#REF!+#REF!+#REF!+#REF!+#REF!+#REF!+#REF!+'01.10.19'!K37</f>
        <v>#REF!</v>
      </c>
      <c r="L37" s="6" t="e">
        <f>#REF!+#REF!+#REF!+#REF!+#REF!+#REF!+#REF!+#REF!+#REF!+#REF!+#REF!+#REF!+#REF!+#REF!+#REF!+#REF!+#REF!+#REF!+#REF!+#REF!+#REF!+#REF!+#REF!+#REF!+#REF!+#REF!+#REF!+#REF!+#REF!+'01.10.19'!L37</f>
        <v>#REF!</v>
      </c>
      <c r="M37" s="6" t="e">
        <f>#REF!+#REF!+#REF!+#REF!+#REF!+#REF!+#REF!+#REF!+#REF!+#REF!+#REF!+#REF!+#REF!+#REF!+#REF!+#REF!+#REF!+#REF!+#REF!+#REF!+#REF!+#REF!+#REF!+#REF!+#REF!+#REF!+#REF!+#REF!+#REF!+'01.10.19'!M37</f>
        <v>#REF!</v>
      </c>
      <c r="N37" s="6" t="e">
        <f>#REF!+#REF!+#REF!+#REF!+#REF!+#REF!+#REF!+#REF!+#REF!+#REF!+#REF!+#REF!+#REF!+#REF!+#REF!+#REF!+#REF!+#REF!+#REF!+#REF!+#REF!+#REF!+#REF!+#REF!+#REF!+#REF!+#REF!+#REF!+#REF!+'01.10.19'!N37</f>
        <v>#REF!</v>
      </c>
      <c r="O37" s="6" t="e">
        <f>#REF!+#REF!+#REF!+#REF!+#REF!+#REF!+#REF!+#REF!+#REF!+#REF!+#REF!+#REF!+#REF!+#REF!+#REF!+#REF!+#REF!+#REF!+#REF!+#REF!+#REF!+#REF!+#REF!+#REF!+#REF!+#REF!+#REF!+#REF!+#REF!+'01.10.19'!O37</f>
        <v>#REF!</v>
      </c>
      <c r="P37" s="6" t="e">
        <f>#REF!+#REF!+#REF!+#REF!+#REF!+#REF!+#REF!+#REF!+#REF!+#REF!+#REF!+#REF!+#REF!+#REF!+#REF!+#REF!+#REF!+#REF!+#REF!+#REF!+#REF!+#REF!+#REF!+#REF!+#REF!+#REF!+#REF!+#REF!+#REF!+'01.10.19'!P37</f>
        <v>#REF!</v>
      </c>
      <c r="Q37" s="7" t="e">
        <f t="shared" si="0"/>
        <v>#REF!</v>
      </c>
      <c r="R37" s="6" t="e">
        <f>#REF!+#REF!+#REF!+#REF!+#REF!+#REF!+#REF!+#REF!+#REF!+#REF!+#REF!+#REF!+#REF!+#REF!+#REF!+#REF!+#REF!+#REF!+#REF!+#REF!+#REF!+#REF!+#REF!+#REF!+#REF!+#REF!+#REF!+#REF!+#REF!+'01.10.19'!R37</f>
        <v>#REF!</v>
      </c>
      <c r="S37" s="6" t="e">
        <f t="shared" si="1"/>
        <v>#REF!</v>
      </c>
      <c r="T37" s="6">
        <v>-10</v>
      </c>
      <c r="U37" s="6" t="e">
        <f t="shared" si="2"/>
        <v>#REF!</v>
      </c>
      <c r="V37" s="86"/>
      <c r="W37" s="57"/>
      <c r="X37" s="46"/>
      <c r="Y37" s="61"/>
      <c r="Z37" s="66"/>
      <c r="AA37" s="61"/>
      <c r="AB37" s="67"/>
      <c r="AC37" s="61"/>
      <c r="AD37" s="66"/>
      <c r="AE37" s="61"/>
      <c r="AF37" s="52">
        <f t="shared" si="3"/>
        <v>0</v>
      </c>
      <c r="AG37" s="46" t="e">
        <f t="shared" si="4"/>
        <v>#REF!</v>
      </c>
      <c r="AH37" s="51" t="e">
        <f t="shared" si="5"/>
        <v>#REF!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/>
      <c r="D38" s="6" t="e">
        <f>#REF!+#REF!+#REF!+#REF!+#REF!+#REF!+#REF!+#REF!+#REF!+#REF!+#REF!+#REF!+#REF!+#REF!+#REF!+#REF!+#REF!+#REF!+#REF!+#REF!+#REF!+#REF!+#REF!+#REF!+#REF!+#REF!+#REF!+#REF!+#REF!+'01.10.19'!D38</f>
        <v>#REF!</v>
      </c>
      <c r="E38" s="6" t="e">
        <f>#REF!+#REF!+#REF!+#REF!+#REF!+#REF!+#REF!+#REF!+#REF!+#REF!+#REF!+#REF!+#REF!+#REF!+#REF!+#REF!+#REF!+#REF!+#REF!+#REF!+#REF!+#REF!+#REF!+#REF!+#REF!+#REF!+#REF!+#REF!+#REF!+'01.10.19'!E38</f>
        <v>#REF!</v>
      </c>
      <c r="F38" s="6" t="e">
        <f>#REF!+#REF!+#REF!+#REF!+#REF!+#REF!+#REF!+#REF!+#REF!+#REF!+#REF!+#REF!+#REF!+#REF!+#REF!+#REF!+#REF!+#REF!+#REF!+#REF!+#REF!+#REF!+#REF!+#REF!+#REF!+#REF!+#REF!+#REF!+#REF!+'01.10.19'!F38</f>
        <v>#REF!</v>
      </c>
      <c r="G38" s="6" t="e">
        <f>#REF!+#REF!+#REF!+#REF!+#REF!+#REF!+#REF!+#REF!+#REF!+#REF!+#REF!+#REF!+#REF!+#REF!+#REF!+#REF!+#REF!+#REF!+#REF!+#REF!+#REF!+#REF!+#REF!+#REF!+#REF!+#REF!+#REF!+#REF!+#REF!+'01.10.19'!G38</f>
        <v>#REF!</v>
      </c>
      <c r="H38" s="6" t="e">
        <f>#REF!+#REF!+#REF!+#REF!+#REF!+#REF!+#REF!+#REF!+#REF!+#REF!+#REF!+#REF!+#REF!+#REF!+#REF!+#REF!+#REF!+#REF!+#REF!+#REF!+#REF!+#REF!+#REF!+#REF!+#REF!+#REF!+#REF!+#REF!+#REF!+'01.10.19'!H38</f>
        <v>#REF!</v>
      </c>
      <c r="I38" s="6" t="e">
        <f>#REF!+#REF!+#REF!+#REF!+#REF!+#REF!+#REF!+#REF!+#REF!+#REF!+#REF!+#REF!+#REF!+#REF!+#REF!+#REF!+#REF!+#REF!+#REF!+#REF!+#REF!+#REF!+#REF!+#REF!+#REF!+#REF!+#REF!+#REF!+#REF!+'01.10.19'!I38</f>
        <v>#REF!</v>
      </c>
      <c r="J38" s="6" t="e">
        <f>#REF!+#REF!+#REF!+#REF!+#REF!+#REF!+#REF!+#REF!+#REF!+#REF!+#REF!+#REF!+#REF!+#REF!+#REF!+#REF!+#REF!+#REF!+#REF!+#REF!+#REF!+#REF!+#REF!+#REF!+#REF!+#REF!+#REF!+#REF!+#REF!+'01.10.19'!J38</f>
        <v>#REF!</v>
      </c>
      <c r="K38" s="6" t="e">
        <f>#REF!+#REF!+#REF!+#REF!+#REF!+#REF!+#REF!+#REF!+#REF!+#REF!+#REF!+#REF!+#REF!+#REF!+#REF!+#REF!+#REF!+#REF!+#REF!+#REF!+#REF!+#REF!+#REF!+#REF!+#REF!+#REF!+#REF!+#REF!+#REF!+'01.10.19'!K38</f>
        <v>#REF!</v>
      </c>
      <c r="L38" s="6" t="e">
        <f>#REF!+#REF!+#REF!+#REF!+#REF!+#REF!+#REF!+#REF!+#REF!+#REF!+#REF!+#REF!+#REF!+#REF!+#REF!+#REF!+#REF!+#REF!+#REF!+#REF!+#REF!+#REF!+#REF!+#REF!+#REF!+#REF!+#REF!+#REF!+#REF!+'01.10.19'!L38</f>
        <v>#REF!</v>
      </c>
      <c r="M38" s="6" t="e">
        <f>#REF!+#REF!+#REF!+#REF!+#REF!+#REF!+#REF!+#REF!+#REF!+#REF!+#REF!+#REF!+#REF!+#REF!+#REF!+#REF!+#REF!+#REF!+#REF!+#REF!+#REF!+#REF!+#REF!+#REF!+#REF!+#REF!+#REF!+#REF!+#REF!+'01.10.19'!M38</f>
        <v>#REF!</v>
      </c>
      <c r="N38" s="6" t="e">
        <f>#REF!+#REF!+#REF!+#REF!+#REF!+#REF!+#REF!+#REF!+#REF!+#REF!+#REF!+#REF!+#REF!+#REF!+#REF!+#REF!+#REF!+#REF!+#REF!+#REF!+#REF!+#REF!+#REF!+#REF!+#REF!+#REF!+#REF!+#REF!+#REF!+'01.10.19'!N38</f>
        <v>#REF!</v>
      </c>
      <c r="O38" s="6" t="e">
        <f>#REF!+#REF!+#REF!+#REF!+#REF!+#REF!+#REF!+#REF!+#REF!+#REF!+#REF!+#REF!+#REF!+#REF!+#REF!+#REF!+#REF!+#REF!+#REF!+#REF!+#REF!+#REF!+#REF!+#REF!+#REF!+#REF!+#REF!+#REF!+#REF!+'01.10.19'!O38</f>
        <v>#REF!</v>
      </c>
      <c r="P38" s="6" t="e">
        <f>#REF!+#REF!+#REF!+#REF!+#REF!+#REF!+#REF!+#REF!+#REF!+#REF!+#REF!+#REF!+#REF!+#REF!+#REF!+#REF!+#REF!+#REF!+#REF!+#REF!+#REF!+#REF!+#REF!+#REF!+#REF!+#REF!+#REF!+#REF!+#REF!+'01.10.19'!P38</f>
        <v>#REF!</v>
      </c>
      <c r="Q38" s="7" t="e">
        <f>SUM(E38:P38)</f>
        <v>#REF!</v>
      </c>
      <c r="R38" s="6" t="e">
        <f>#REF!+#REF!+#REF!+#REF!+#REF!+#REF!+#REF!+#REF!+#REF!+#REF!+#REF!+#REF!+#REF!+#REF!+#REF!+#REF!+#REF!+#REF!+#REF!+#REF!+#REF!+#REF!+#REF!+#REF!+#REF!+#REF!+#REF!+#REF!+#REF!+'01.10.19'!R38</f>
        <v>#REF!</v>
      </c>
      <c r="S38" s="6" t="e">
        <f t="shared" si="1"/>
        <v>#REF!</v>
      </c>
      <c r="T38" s="6">
        <v>6180</v>
      </c>
      <c r="U38" s="6" t="e">
        <f t="shared" si="2"/>
        <v>#REF!</v>
      </c>
      <c r="V38" s="70"/>
      <c r="W38" s="57"/>
      <c r="X38" s="46"/>
      <c r="Y38" s="61"/>
      <c r="Z38" s="66"/>
      <c r="AA38" s="61"/>
      <c r="AB38" s="64"/>
      <c r="AC38" s="61"/>
      <c r="AD38" s="66"/>
      <c r="AE38" s="61"/>
      <c r="AF38" s="52">
        <f t="shared" si="3"/>
        <v>0</v>
      </c>
      <c r="AG38" s="46" t="e">
        <f t="shared" si="4"/>
        <v>#REF!</v>
      </c>
      <c r="AH38" s="51" t="e">
        <f t="shared" si="5"/>
        <v>#REF!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/>
      <c r="D39" s="6" t="e">
        <f>#REF!+#REF!+#REF!+#REF!+#REF!+#REF!+#REF!+#REF!+#REF!+#REF!+#REF!+#REF!+#REF!+#REF!+#REF!+#REF!+#REF!+#REF!+#REF!+#REF!+#REF!+#REF!+#REF!+#REF!+#REF!+#REF!+#REF!+#REF!+#REF!+'01.10.19'!D39</f>
        <v>#REF!</v>
      </c>
      <c r="E39" s="6" t="e">
        <f>#REF!+#REF!+#REF!+#REF!+#REF!+#REF!+#REF!+#REF!+#REF!+#REF!+#REF!+#REF!+#REF!+#REF!+#REF!+#REF!+#REF!+#REF!+#REF!+#REF!+#REF!+#REF!+#REF!+#REF!+#REF!+#REF!+#REF!+#REF!+#REF!+'01.10.19'!E39</f>
        <v>#REF!</v>
      </c>
      <c r="F39" s="6" t="e">
        <f>#REF!+#REF!+#REF!+#REF!+#REF!+#REF!+#REF!+#REF!+#REF!+#REF!+#REF!+#REF!+#REF!+#REF!+#REF!+#REF!+#REF!+#REF!+#REF!+#REF!+#REF!+#REF!+#REF!+#REF!+#REF!+#REF!+#REF!+#REF!+#REF!+'01.10.19'!F39</f>
        <v>#REF!</v>
      </c>
      <c r="G39" s="6" t="e">
        <f>#REF!+#REF!+#REF!+#REF!+#REF!+#REF!+#REF!+#REF!+#REF!+#REF!+#REF!+#REF!+#REF!+#REF!+#REF!+#REF!+#REF!+#REF!+#REF!+#REF!+#REF!+#REF!+#REF!+#REF!+#REF!+#REF!+#REF!+#REF!+#REF!+'01.10.19'!G39</f>
        <v>#REF!</v>
      </c>
      <c r="H39" s="6" t="e">
        <f>#REF!+#REF!+#REF!+#REF!+#REF!+#REF!+#REF!+#REF!+#REF!+#REF!+#REF!+#REF!+#REF!+#REF!+#REF!+#REF!+#REF!+#REF!+#REF!+#REF!+#REF!+#REF!+#REF!+#REF!+#REF!+#REF!+#REF!+#REF!+#REF!+'01.10.19'!H39</f>
        <v>#REF!</v>
      </c>
      <c r="I39" s="6" t="e">
        <f>#REF!+#REF!+#REF!+#REF!+#REF!+#REF!+#REF!+#REF!+#REF!+#REF!+#REF!+#REF!+#REF!+#REF!+#REF!+#REF!+#REF!+#REF!+#REF!+#REF!+#REF!+#REF!+#REF!+#REF!+#REF!+#REF!+#REF!+#REF!+#REF!+'01.10.19'!I39</f>
        <v>#REF!</v>
      </c>
      <c r="J39" s="6" t="e">
        <f>#REF!+#REF!+#REF!+#REF!+#REF!+#REF!+#REF!+#REF!+#REF!+#REF!+#REF!+#REF!+#REF!+#REF!+#REF!+#REF!+#REF!+#REF!+#REF!+#REF!+#REF!+#REF!+#REF!+#REF!+#REF!+#REF!+#REF!+#REF!+#REF!+'01.10.19'!J39</f>
        <v>#REF!</v>
      </c>
      <c r="K39" s="6" t="e">
        <f>#REF!+#REF!+#REF!+#REF!+#REF!+#REF!+#REF!+#REF!+#REF!+#REF!+#REF!+#REF!+#REF!+#REF!+#REF!+#REF!+#REF!+#REF!+#REF!+#REF!+#REF!+#REF!+#REF!+#REF!+#REF!+#REF!+#REF!+#REF!+#REF!+'01.10.19'!K39</f>
        <v>#REF!</v>
      </c>
      <c r="L39" s="6" t="e">
        <f>#REF!+#REF!+#REF!+#REF!+#REF!+#REF!+#REF!+#REF!+#REF!+#REF!+#REF!+#REF!+#REF!+#REF!+#REF!+#REF!+#REF!+#REF!+#REF!+#REF!+#REF!+#REF!+#REF!+#REF!+#REF!+#REF!+#REF!+#REF!+#REF!+'01.10.19'!L39</f>
        <v>#REF!</v>
      </c>
      <c r="M39" s="6" t="e">
        <f>#REF!+#REF!+#REF!+#REF!+#REF!+#REF!+#REF!+#REF!+#REF!+#REF!+#REF!+#REF!+#REF!+#REF!+#REF!+#REF!+#REF!+#REF!+#REF!+#REF!+#REF!+#REF!+#REF!+#REF!+#REF!+#REF!+#REF!+#REF!+#REF!+'01.10.19'!M39</f>
        <v>#REF!</v>
      </c>
      <c r="N39" s="6" t="e">
        <f>#REF!+#REF!+#REF!+#REF!+#REF!+#REF!+#REF!+#REF!+#REF!+#REF!+#REF!+#REF!+#REF!+#REF!+#REF!+#REF!+#REF!+#REF!+#REF!+#REF!+#REF!+#REF!+#REF!+#REF!+#REF!+#REF!+#REF!+#REF!+#REF!+'01.10.19'!N39</f>
        <v>#REF!</v>
      </c>
      <c r="O39" s="6" t="e">
        <f>#REF!+#REF!+#REF!+#REF!+#REF!+#REF!+#REF!+#REF!+#REF!+#REF!+#REF!+#REF!+#REF!+#REF!+#REF!+#REF!+#REF!+#REF!+#REF!+#REF!+#REF!+#REF!+#REF!+#REF!+#REF!+#REF!+#REF!+#REF!+#REF!+'01.10.19'!O39</f>
        <v>#REF!</v>
      </c>
      <c r="P39" s="6" t="e">
        <f>#REF!+#REF!+#REF!+#REF!+#REF!+#REF!+#REF!+#REF!+#REF!+#REF!+#REF!+#REF!+#REF!+#REF!+#REF!+#REF!+#REF!+#REF!+#REF!+#REF!+#REF!+#REF!+#REF!+#REF!+#REF!+#REF!+#REF!+#REF!+#REF!+'01.10.19'!P39</f>
        <v>#REF!</v>
      </c>
      <c r="Q39" s="7" t="e">
        <f>SUM(E39:P39)</f>
        <v>#REF!</v>
      </c>
      <c r="R39" s="6" t="e">
        <f>#REF!+#REF!+#REF!+#REF!+#REF!+#REF!+#REF!+#REF!+#REF!+#REF!+#REF!+#REF!+#REF!+#REF!+#REF!+#REF!+#REF!+#REF!+#REF!+#REF!+#REF!+#REF!+#REF!+#REF!+#REF!+#REF!+#REF!+#REF!+#REF!+'01.10.19'!R39</f>
        <v>#REF!</v>
      </c>
      <c r="S39" s="6" t="e">
        <f t="shared" si="1"/>
        <v>#REF!</v>
      </c>
      <c r="T39" s="6">
        <v>-13180</v>
      </c>
      <c r="U39" s="6" t="e">
        <f t="shared" si="2"/>
        <v>#REF!</v>
      </c>
      <c r="V39" s="86">
        <v>40</v>
      </c>
      <c r="W39" s="57"/>
      <c r="X39" s="46"/>
      <c r="Y39" s="61"/>
      <c r="Z39" s="66"/>
      <c r="AA39" s="61"/>
      <c r="AB39" s="67"/>
      <c r="AC39" s="61"/>
      <c r="AD39" s="66"/>
      <c r="AE39" s="61"/>
      <c r="AF39" s="52">
        <f t="shared" si="3"/>
        <v>0</v>
      </c>
      <c r="AG39" s="46" t="e">
        <f t="shared" si="4"/>
        <v>#REF!</v>
      </c>
      <c r="AH39" s="51" t="e">
        <f t="shared" si="5"/>
        <v>#REF!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/>
      <c r="D40" s="6" t="e">
        <f>#REF!+#REF!+#REF!+#REF!+#REF!+#REF!+#REF!+#REF!+#REF!+#REF!+#REF!+#REF!+#REF!+#REF!+#REF!+#REF!+#REF!+#REF!+#REF!+#REF!+#REF!+#REF!+#REF!+#REF!+#REF!+#REF!+#REF!+#REF!+#REF!+'01.10.19'!D40</f>
        <v>#REF!</v>
      </c>
      <c r="E40" s="6" t="e">
        <f>#REF!+#REF!+#REF!+#REF!+#REF!+#REF!+#REF!+#REF!+#REF!+#REF!+#REF!+#REF!+#REF!+#REF!+#REF!+#REF!+#REF!+#REF!+#REF!+#REF!+#REF!+#REF!+#REF!+#REF!+#REF!+#REF!+#REF!+#REF!+#REF!+'01.10.19'!E40</f>
        <v>#REF!</v>
      </c>
      <c r="F40" s="6" t="e">
        <f>#REF!+#REF!+#REF!+#REF!+#REF!+#REF!+#REF!+#REF!+#REF!+#REF!+#REF!+#REF!+#REF!+#REF!+#REF!+#REF!+#REF!+#REF!+#REF!+#REF!+#REF!+#REF!+#REF!+#REF!+#REF!+#REF!+#REF!+#REF!+#REF!+'01.10.19'!F40</f>
        <v>#REF!</v>
      </c>
      <c r="G40" s="6" t="e">
        <f>#REF!+#REF!+#REF!+#REF!+#REF!+#REF!+#REF!+#REF!+#REF!+#REF!+#REF!+#REF!+#REF!+#REF!+#REF!+#REF!+#REF!+#REF!+#REF!+#REF!+#REF!+#REF!+#REF!+#REF!+#REF!+#REF!+#REF!+#REF!+#REF!+'01.10.19'!G40</f>
        <v>#REF!</v>
      </c>
      <c r="H40" s="6" t="e">
        <f>#REF!+#REF!+#REF!+#REF!+#REF!+#REF!+#REF!+#REF!+#REF!+#REF!+#REF!+#REF!+#REF!+#REF!+#REF!+#REF!+#REF!+#REF!+#REF!+#REF!+#REF!+#REF!+#REF!+#REF!+#REF!+#REF!+#REF!+#REF!+#REF!+'01.10.19'!H40</f>
        <v>#REF!</v>
      </c>
      <c r="I40" s="6" t="e">
        <f>#REF!+#REF!+#REF!+#REF!+#REF!+#REF!+#REF!+#REF!+#REF!+#REF!+#REF!+#REF!+#REF!+#REF!+#REF!+#REF!+#REF!+#REF!+#REF!+#REF!+#REF!+#REF!+#REF!+#REF!+#REF!+#REF!+#REF!+#REF!+#REF!+'01.10.19'!I40</f>
        <v>#REF!</v>
      </c>
      <c r="J40" s="6" t="e">
        <f>#REF!+#REF!+#REF!+#REF!+#REF!+#REF!+#REF!+#REF!+#REF!+#REF!+#REF!+#REF!+#REF!+#REF!+#REF!+#REF!+#REF!+#REF!+#REF!+#REF!+#REF!+#REF!+#REF!+#REF!+#REF!+#REF!+#REF!+#REF!+#REF!+'01.10.19'!J40</f>
        <v>#REF!</v>
      </c>
      <c r="K40" s="6" t="e">
        <f>#REF!+#REF!+#REF!+#REF!+#REF!+#REF!+#REF!+#REF!+#REF!+#REF!+#REF!+#REF!+#REF!+#REF!+#REF!+#REF!+#REF!+#REF!+#REF!+#REF!+#REF!+#REF!+#REF!+#REF!+#REF!+#REF!+#REF!+#REF!+#REF!+'01.10.19'!K40</f>
        <v>#REF!</v>
      </c>
      <c r="L40" s="6" t="e">
        <f>#REF!+#REF!+#REF!+#REF!+#REF!+#REF!+#REF!+#REF!+#REF!+#REF!+#REF!+#REF!+#REF!+#REF!+#REF!+#REF!+#REF!+#REF!+#REF!+#REF!+#REF!+#REF!+#REF!+#REF!+#REF!+#REF!+#REF!+#REF!+#REF!+'01.10.19'!L40</f>
        <v>#REF!</v>
      </c>
      <c r="M40" s="6" t="e">
        <f>#REF!+#REF!+#REF!+#REF!+#REF!+#REF!+#REF!+#REF!+#REF!+#REF!+#REF!+#REF!+#REF!+#REF!+#REF!+#REF!+#REF!+#REF!+#REF!+#REF!+#REF!+#REF!+#REF!+#REF!+#REF!+#REF!+#REF!+#REF!+#REF!+'01.10.19'!M40</f>
        <v>#REF!</v>
      </c>
      <c r="N40" s="6" t="e">
        <f>#REF!+#REF!+#REF!+#REF!+#REF!+#REF!+#REF!+#REF!+#REF!+#REF!+#REF!+#REF!+#REF!+#REF!+#REF!+#REF!+#REF!+#REF!+#REF!+#REF!+#REF!+#REF!+#REF!+#REF!+#REF!+#REF!+#REF!+#REF!+#REF!+'01.10.19'!N40</f>
        <v>#REF!</v>
      </c>
      <c r="O40" s="6" t="e">
        <f>#REF!+#REF!+#REF!+#REF!+#REF!+#REF!+#REF!+#REF!+#REF!+#REF!+#REF!+#REF!+#REF!+#REF!+#REF!+#REF!+#REF!+#REF!+#REF!+#REF!+#REF!+#REF!+#REF!+#REF!+#REF!+#REF!+#REF!+#REF!+#REF!+'01.10.19'!O40</f>
        <v>#REF!</v>
      </c>
      <c r="P40" s="6" t="e">
        <f>#REF!+#REF!+#REF!+#REF!+#REF!+#REF!+#REF!+#REF!+#REF!+#REF!+#REF!+#REF!+#REF!+#REF!+#REF!+#REF!+#REF!+#REF!+#REF!+#REF!+#REF!+#REF!+#REF!+#REF!+#REF!+#REF!+#REF!+#REF!+#REF!+'01.10.19'!P40</f>
        <v>#REF!</v>
      </c>
      <c r="Q40" s="7" t="e">
        <f>SUM(E40:P40)</f>
        <v>#REF!</v>
      </c>
      <c r="R40" s="6" t="e">
        <f>#REF!+#REF!+#REF!+#REF!+#REF!+#REF!+#REF!+#REF!+#REF!+#REF!+#REF!+#REF!+#REF!+#REF!+#REF!+#REF!+#REF!+#REF!+#REF!+#REF!+#REF!+#REF!+#REF!+#REF!+#REF!+#REF!+#REF!+#REF!+#REF!+'01.10.19'!R40</f>
        <v>#REF!</v>
      </c>
      <c r="S40" s="6" t="e">
        <f t="shared" si="1"/>
        <v>#REF!</v>
      </c>
      <c r="T40" s="6">
        <v>-600</v>
      </c>
      <c r="U40" s="6" t="e">
        <f t="shared" si="2"/>
        <v>#REF!</v>
      </c>
      <c r="V40" s="86"/>
      <c r="W40" s="57"/>
      <c r="X40" s="46"/>
      <c r="Y40" s="61"/>
      <c r="Z40" s="66"/>
      <c r="AA40" s="61"/>
      <c r="AB40" s="67"/>
      <c r="AC40" s="61"/>
      <c r="AD40" s="66"/>
      <c r="AE40" s="61"/>
      <c r="AF40" s="52">
        <f t="shared" si="3"/>
        <v>0</v>
      </c>
      <c r="AG40" s="46" t="e">
        <f t="shared" si="4"/>
        <v>#REF!</v>
      </c>
      <c r="AH40" s="51" t="e">
        <f t="shared" si="5"/>
        <v>#REF!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/>
      <c r="D41" s="6" t="e">
        <f>#REF!+#REF!+#REF!+#REF!+#REF!+#REF!+#REF!+#REF!+#REF!+#REF!+#REF!+#REF!+#REF!+#REF!+#REF!+#REF!+#REF!+#REF!+#REF!+#REF!+#REF!+#REF!+#REF!+#REF!+#REF!+#REF!+#REF!+#REF!+#REF!+'01.10.19'!D41</f>
        <v>#REF!</v>
      </c>
      <c r="E41" s="6" t="e">
        <f>#REF!+#REF!+#REF!+#REF!+#REF!+#REF!+#REF!+#REF!+#REF!+#REF!+#REF!+#REF!+#REF!+#REF!+#REF!+#REF!+#REF!+#REF!+#REF!+#REF!+#REF!+#REF!+#REF!+#REF!+#REF!+#REF!+#REF!+#REF!+#REF!+'01.10.19'!E41</f>
        <v>#REF!</v>
      </c>
      <c r="F41" s="6" t="e">
        <f>#REF!+#REF!+#REF!+#REF!+#REF!+#REF!+#REF!+#REF!+#REF!+#REF!+#REF!+#REF!+#REF!+#REF!+#REF!+#REF!+#REF!+#REF!+#REF!+#REF!+#REF!+#REF!+#REF!+#REF!+#REF!+#REF!+#REF!+#REF!+#REF!+'01.10.19'!F41</f>
        <v>#REF!</v>
      </c>
      <c r="G41" s="6" t="e">
        <f>#REF!+#REF!+#REF!+#REF!+#REF!+#REF!+#REF!+#REF!+#REF!+#REF!+#REF!+#REF!+#REF!+#REF!+#REF!+#REF!+#REF!+#REF!+#REF!+#REF!+#REF!+#REF!+#REF!+#REF!+#REF!+#REF!+#REF!+#REF!+#REF!+'01.10.19'!G41</f>
        <v>#REF!</v>
      </c>
      <c r="H41" s="6" t="e">
        <f>#REF!+#REF!+#REF!+#REF!+#REF!+#REF!+#REF!+#REF!+#REF!+#REF!+#REF!+#REF!+#REF!+#REF!+#REF!+#REF!+#REF!+#REF!+#REF!+#REF!+#REF!+#REF!+#REF!+#REF!+#REF!+#REF!+#REF!+#REF!+#REF!+'01.10.19'!H41</f>
        <v>#REF!</v>
      </c>
      <c r="I41" s="6" t="e">
        <f>#REF!+#REF!+#REF!+#REF!+#REF!+#REF!+#REF!+#REF!+#REF!+#REF!+#REF!+#REF!+#REF!+#REF!+#REF!+#REF!+#REF!+#REF!+#REF!+#REF!+#REF!+#REF!+#REF!+#REF!+#REF!+#REF!+#REF!+#REF!+#REF!+'01.10.19'!I41</f>
        <v>#REF!</v>
      </c>
      <c r="J41" s="6" t="e">
        <f>#REF!+#REF!+#REF!+#REF!+#REF!+#REF!+#REF!+#REF!+#REF!+#REF!+#REF!+#REF!+#REF!+#REF!+#REF!+#REF!+#REF!+#REF!+#REF!+#REF!+#REF!+#REF!+#REF!+#REF!+#REF!+#REF!+#REF!+#REF!+#REF!+'01.10.19'!J41</f>
        <v>#REF!</v>
      </c>
      <c r="K41" s="6" t="e">
        <f>#REF!+#REF!+#REF!+#REF!+#REF!+#REF!+#REF!+#REF!+#REF!+#REF!+#REF!+#REF!+#REF!+#REF!+#REF!+#REF!+#REF!+#REF!+#REF!+#REF!+#REF!+#REF!+#REF!+#REF!+#REF!+#REF!+#REF!+#REF!+#REF!+'01.10.19'!K41</f>
        <v>#REF!</v>
      </c>
      <c r="L41" s="6" t="e">
        <f>#REF!+#REF!+#REF!+#REF!+#REF!+#REF!+#REF!+#REF!+#REF!+#REF!+#REF!+#REF!+#REF!+#REF!+#REF!+#REF!+#REF!+#REF!+#REF!+#REF!+#REF!+#REF!+#REF!+#REF!+#REF!+#REF!+#REF!+#REF!+#REF!+'01.10.19'!L41</f>
        <v>#REF!</v>
      </c>
      <c r="M41" s="6" t="e">
        <f>#REF!+#REF!+#REF!+#REF!+#REF!+#REF!+#REF!+#REF!+#REF!+#REF!+#REF!+#REF!+#REF!+#REF!+#REF!+#REF!+#REF!+#REF!+#REF!+#REF!+#REF!+#REF!+#REF!+#REF!+#REF!+#REF!+#REF!+#REF!+#REF!+'01.10.19'!M41</f>
        <v>#REF!</v>
      </c>
      <c r="N41" s="6" t="e">
        <f>#REF!+#REF!+#REF!+#REF!+#REF!+#REF!+#REF!+#REF!+#REF!+#REF!+#REF!+#REF!+#REF!+#REF!+#REF!+#REF!+#REF!+#REF!+#REF!+#REF!+#REF!+#REF!+#REF!+#REF!+#REF!+#REF!+#REF!+#REF!+#REF!+'01.10.19'!N41</f>
        <v>#REF!</v>
      </c>
      <c r="O41" s="6" t="e">
        <f>#REF!+#REF!+#REF!+#REF!+#REF!+#REF!+#REF!+#REF!+#REF!+#REF!+#REF!+#REF!+#REF!+#REF!+#REF!+#REF!+#REF!+#REF!+#REF!+#REF!+#REF!+#REF!+#REF!+#REF!+#REF!+#REF!+#REF!+#REF!+#REF!+'01.10.19'!O41</f>
        <v>#REF!</v>
      </c>
      <c r="P41" s="6" t="e">
        <f>#REF!+#REF!+#REF!+#REF!+#REF!+#REF!+#REF!+#REF!+#REF!+#REF!+#REF!+#REF!+#REF!+#REF!+#REF!+#REF!+#REF!+#REF!+#REF!+#REF!+#REF!+#REF!+#REF!+#REF!+#REF!+#REF!+#REF!+#REF!+#REF!+'01.10.19'!P41</f>
        <v>#REF!</v>
      </c>
      <c r="Q41" s="7" t="e">
        <f>SUM(E41:P41)</f>
        <v>#REF!</v>
      </c>
      <c r="R41" s="6" t="e">
        <f>#REF!+#REF!+#REF!+#REF!+#REF!+#REF!+#REF!+#REF!+#REF!+#REF!+#REF!+#REF!+#REF!+#REF!+#REF!+#REF!+#REF!+#REF!+#REF!+#REF!+#REF!+#REF!+#REF!+#REF!+#REF!+#REF!+#REF!+#REF!+#REF!+'01.10.19'!R41</f>
        <v>#REF!</v>
      </c>
      <c r="S41" s="6" t="e">
        <f t="shared" si="1"/>
        <v>#REF!</v>
      </c>
      <c r="T41" s="6">
        <v>0</v>
      </c>
      <c r="U41" s="6" t="e">
        <f t="shared" si="2"/>
        <v>#REF!</v>
      </c>
      <c r="V41" s="86"/>
      <c r="W41" s="57"/>
      <c r="X41" s="46"/>
      <c r="Y41" s="61"/>
      <c r="Z41" s="66"/>
      <c r="AA41" s="61"/>
      <c r="AB41" s="67"/>
      <c r="AC41" s="61"/>
      <c r="AD41" s="66"/>
      <c r="AE41" s="61"/>
      <c r="AF41" s="52">
        <f t="shared" si="3"/>
        <v>0</v>
      </c>
      <c r="AG41" s="46" t="e">
        <f t="shared" si="4"/>
        <v>#REF!</v>
      </c>
      <c r="AH41" s="51" t="e">
        <f t="shared" si="5"/>
        <v>#REF!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/>
      <c r="D42" s="6" t="e">
        <f>#REF!+#REF!+#REF!+#REF!+#REF!+#REF!+#REF!+#REF!+#REF!+#REF!+#REF!+#REF!+#REF!+#REF!+#REF!+#REF!+#REF!+#REF!+#REF!+#REF!+#REF!+#REF!+#REF!+#REF!+#REF!+#REF!+#REF!+#REF!+#REF!+'01.10.19'!D42</f>
        <v>#REF!</v>
      </c>
      <c r="E42" s="6" t="e">
        <f>#REF!+#REF!+#REF!+#REF!+#REF!+#REF!+#REF!+#REF!+#REF!+#REF!+#REF!+#REF!+#REF!+#REF!+#REF!+#REF!+#REF!+#REF!+#REF!+#REF!+#REF!+#REF!+#REF!+#REF!+#REF!+#REF!+#REF!+#REF!+#REF!+'01.10.19'!E42</f>
        <v>#REF!</v>
      </c>
      <c r="F42" s="6" t="e">
        <f>#REF!+#REF!+#REF!+#REF!+#REF!+#REF!+#REF!+#REF!+#REF!+#REF!+#REF!+#REF!+#REF!+#REF!+#REF!+#REF!+#REF!+#REF!+#REF!+#REF!+#REF!+#REF!+#REF!+#REF!+#REF!+#REF!+#REF!+#REF!+#REF!+'01.10.19'!F42</f>
        <v>#REF!</v>
      </c>
      <c r="G42" s="6" t="e">
        <f>#REF!+#REF!+#REF!+#REF!+#REF!+#REF!+#REF!+#REF!+#REF!+#REF!+#REF!+#REF!+#REF!+#REF!+#REF!+#REF!+#REF!+#REF!+#REF!+#REF!+#REF!+#REF!+#REF!+#REF!+#REF!+#REF!+#REF!+#REF!+#REF!+'01.10.19'!G42</f>
        <v>#REF!</v>
      </c>
      <c r="H42" s="6" t="e">
        <f>#REF!+#REF!+#REF!+#REF!+#REF!+#REF!+#REF!+#REF!+#REF!+#REF!+#REF!+#REF!+#REF!+#REF!+#REF!+#REF!+#REF!+#REF!+#REF!+#REF!+#REF!+#REF!+#REF!+#REF!+#REF!+#REF!+#REF!+#REF!+#REF!+'01.10.19'!H42</f>
        <v>#REF!</v>
      </c>
      <c r="I42" s="6" t="e">
        <f>#REF!+#REF!+#REF!+#REF!+#REF!+#REF!+#REF!+#REF!+#REF!+#REF!+#REF!+#REF!+#REF!+#REF!+#REF!+#REF!+#REF!+#REF!+#REF!+#REF!+#REF!+#REF!+#REF!+#REF!+#REF!+#REF!+#REF!+#REF!+#REF!+'01.10.19'!I42</f>
        <v>#REF!</v>
      </c>
      <c r="J42" s="6" t="e">
        <f>#REF!+#REF!+#REF!+#REF!+#REF!+#REF!+#REF!+#REF!+#REF!+#REF!+#REF!+#REF!+#REF!+#REF!+#REF!+#REF!+#REF!+#REF!+#REF!+#REF!+#REF!+#REF!+#REF!+#REF!+#REF!+#REF!+#REF!+#REF!+#REF!+'01.10.19'!J42</f>
        <v>#REF!</v>
      </c>
      <c r="K42" s="6" t="e">
        <f>#REF!+#REF!+#REF!+#REF!+#REF!+#REF!+#REF!+#REF!+#REF!+#REF!+#REF!+#REF!+#REF!+#REF!+#REF!+#REF!+#REF!+#REF!+#REF!+#REF!+#REF!+#REF!+#REF!+#REF!+#REF!+#REF!+#REF!+#REF!+#REF!+'01.10.19'!K42</f>
        <v>#REF!</v>
      </c>
      <c r="L42" s="6" t="e">
        <f>#REF!+#REF!+#REF!+#REF!+#REF!+#REF!+#REF!+#REF!+#REF!+#REF!+#REF!+#REF!+#REF!+#REF!+#REF!+#REF!+#REF!+#REF!+#REF!+#REF!+#REF!+#REF!+#REF!+#REF!+#REF!+#REF!+#REF!+#REF!+#REF!+'01.10.19'!L42</f>
        <v>#REF!</v>
      </c>
      <c r="M42" s="6" t="e">
        <f>#REF!+#REF!+#REF!+#REF!+#REF!+#REF!+#REF!+#REF!+#REF!+#REF!+#REF!+#REF!+#REF!+#REF!+#REF!+#REF!+#REF!+#REF!+#REF!+#REF!+#REF!+#REF!+#REF!+#REF!+#REF!+#REF!+#REF!+#REF!+#REF!+'01.10.19'!M42</f>
        <v>#REF!</v>
      </c>
      <c r="N42" s="6" t="e">
        <f>#REF!+#REF!+#REF!+#REF!+#REF!+#REF!+#REF!+#REF!+#REF!+#REF!+#REF!+#REF!+#REF!+#REF!+#REF!+#REF!+#REF!+#REF!+#REF!+#REF!+#REF!+#REF!+#REF!+#REF!+#REF!+#REF!+#REF!+#REF!+#REF!+'01.10.19'!N42</f>
        <v>#REF!</v>
      </c>
      <c r="O42" s="6" t="e">
        <f>#REF!+#REF!+#REF!+#REF!+#REF!+#REF!+#REF!+#REF!+#REF!+#REF!+#REF!+#REF!+#REF!+#REF!+#REF!+#REF!+#REF!+#REF!+#REF!+#REF!+#REF!+#REF!+#REF!+#REF!+#REF!+#REF!+#REF!+#REF!+#REF!+'01.10.19'!O42</f>
        <v>#REF!</v>
      </c>
      <c r="P42" s="6" t="e">
        <f>#REF!+#REF!+#REF!+#REF!+#REF!+#REF!+#REF!+#REF!+#REF!+#REF!+#REF!+#REF!+#REF!+#REF!+#REF!+#REF!+#REF!+#REF!+#REF!+#REF!+#REF!+#REF!+#REF!+#REF!+#REF!+#REF!+#REF!+#REF!+#REF!+'01.10.19'!P42</f>
        <v>#REF!</v>
      </c>
      <c r="Q42" s="7" t="e">
        <f>SUM(E42:P42)</f>
        <v>#REF!</v>
      </c>
      <c r="R42" s="6" t="e">
        <f>#REF!+#REF!+#REF!+#REF!+#REF!+#REF!+#REF!+#REF!+#REF!+#REF!+#REF!+#REF!+#REF!+#REF!+#REF!+#REF!+#REF!+#REF!+#REF!+#REF!+#REF!+#REF!+#REF!+#REF!+#REF!+#REF!+#REF!+#REF!+#REF!+'01.10.19'!R42</f>
        <v>#REF!</v>
      </c>
      <c r="S42" s="6" t="e">
        <f t="shared" si="1"/>
        <v>#REF!</v>
      </c>
      <c r="T42" s="6">
        <f>-3200+40</f>
        <v>-3160</v>
      </c>
      <c r="U42" s="6" t="e">
        <f t="shared" si="2"/>
        <v>#REF!</v>
      </c>
      <c r="V42" s="86"/>
      <c r="W42" s="57"/>
      <c r="X42" s="46"/>
      <c r="Y42" s="61"/>
      <c r="Z42" s="66"/>
      <c r="AA42" s="61"/>
      <c r="AB42" s="67"/>
      <c r="AC42" s="61"/>
      <c r="AD42" s="66"/>
      <c r="AE42" s="61"/>
      <c r="AF42" s="52">
        <f t="shared" si="3"/>
        <v>0</v>
      </c>
      <c r="AG42" s="46" t="e">
        <f t="shared" si="4"/>
        <v>#REF!</v>
      </c>
      <c r="AH42" s="51" t="e">
        <f t="shared" si="5"/>
        <v>#REF!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6" t="e">
        <f>#REF!+#REF!+#REF!+#REF!+#REF!+#REF!+#REF!+#REF!+#REF!+#REF!+#REF!+#REF!+#REF!+#REF!+#REF!+#REF!+#REF!+#REF!+#REF!+#REF!+#REF!+#REF!+#REF!+#REF!+#REF!+#REF!+#REF!+#REF!+#REF!+'01.10.19'!D43</f>
        <v>#REF!</v>
      </c>
      <c r="E43" s="6" t="e">
        <f>#REF!+#REF!+#REF!+#REF!+#REF!+#REF!+#REF!+#REF!+#REF!+#REF!+#REF!+#REF!+#REF!+#REF!+#REF!+#REF!+#REF!+#REF!+#REF!+#REF!+#REF!+#REF!+#REF!+#REF!+#REF!+#REF!+#REF!+#REF!+#REF!+'01.10.19'!E43</f>
        <v>#REF!</v>
      </c>
      <c r="F43" s="6" t="e">
        <f>#REF!+#REF!+#REF!+#REF!+#REF!+#REF!+#REF!+#REF!+#REF!+#REF!+#REF!+#REF!+#REF!+#REF!+#REF!+#REF!+#REF!+#REF!+#REF!+#REF!+#REF!+#REF!+#REF!+#REF!+#REF!+#REF!+#REF!+#REF!+#REF!+'01.10.19'!F43</f>
        <v>#REF!</v>
      </c>
      <c r="G43" s="6" t="e">
        <f>#REF!+#REF!+#REF!+#REF!+#REF!+#REF!+#REF!+#REF!+#REF!+#REF!+#REF!+#REF!+#REF!+#REF!+#REF!+#REF!+#REF!+#REF!+#REF!+#REF!+#REF!+#REF!+#REF!+#REF!+#REF!+#REF!+#REF!+#REF!+#REF!+'01.10.19'!G43</f>
        <v>#REF!</v>
      </c>
      <c r="H43" s="6" t="e">
        <f>#REF!+#REF!+#REF!+#REF!+#REF!+#REF!+#REF!+#REF!+#REF!+#REF!+#REF!+#REF!+#REF!+#REF!+#REF!+#REF!+#REF!+#REF!+#REF!+#REF!+#REF!+#REF!+#REF!+#REF!+#REF!+#REF!+#REF!+#REF!+#REF!+'01.10.19'!H43</f>
        <v>#REF!</v>
      </c>
      <c r="I43" s="6" t="e">
        <f>#REF!+#REF!+#REF!+#REF!+#REF!+#REF!+#REF!+#REF!+#REF!+#REF!+#REF!+#REF!+#REF!+#REF!+#REF!+#REF!+#REF!+#REF!+#REF!+#REF!+#REF!+#REF!+#REF!+#REF!+#REF!+#REF!+#REF!+#REF!+#REF!+'01.10.19'!I43</f>
        <v>#REF!</v>
      </c>
      <c r="J43" s="6" t="e">
        <f>#REF!+#REF!+#REF!+#REF!+#REF!+#REF!+#REF!+#REF!+#REF!+#REF!+#REF!+#REF!+#REF!+#REF!+#REF!+#REF!+#REF!+#REF!+#REF!+#REF!+#REF!+#REF!+#REF!+#REF!+#REF!+#REF!+#REF!+#REF!+#REF!+'01.10.19'!J43</f>
        <v>#REF!</v>
      </c>
      <c r="K43" s="6" t="e">
        <f>#REF!+#REF!+#REF!+#REF!+#REF!+#REF!+#REF!+#REF!+#REF!+#REF!+#REF!+#REF!+#REF!+#REF!+#REF!+#REF!+#REF!+#REF!+#REF!+#REF!+#REF!+#REF!+#REF!+#REF!+#REF!+#REF!+#REF!+#REF!+#REF!+'01.10.19'!K43</f>
        <v>#REF!</v>
      </c>
      <c r="L43" s="6" t="e">
        <f>#REF!+#REF!+#REF!+#REF!+#REF!+#REF!+#REF!+#REF!+#REF!+#REF!+#REF!+#REF!+#REF!+#REF!+#REF!+#REF!+#REF!+#REF!+#REF!+#REF!+#REF!+#REF!+#REF!+#REF!+#REF!+#REF!+#REF!+#REF!+#REF!+'01.10.19'!L43</f>
        <v>#REF!</v>
      </c>
      <c r="M43" s="6" t="e">
        <f>#REF!+#REF!+#REF!+#REF!+#REF!+#REF!+#REF!+#REF!+#REF!+#REF!+#REF!+#REF!+#REF!+#REF!+#REF!+#REF!+#REF!+#REF!+#REF!+#REF!+#REF!+#REF!+#REF!+#REF!+#REF!+#REF!+#REF!+#REF!+#REF!+'01.10.19'!M43</f>
        <v>#REF!</v>
      </c>
      <c r="N43" s="6" t="e">
        <f>#REF!+#REF!+#REF!+#REF!+#REF!+#REF!+#REF!+#REF!+#REF!+#REF!+#REF!+#REF!+#REF!+#REF!+#REF!+#REF!+#REF!+#REF!+#REF!+#REF!+#REF!+#REF!+#REF!+#REF!+#REF!+#REF!+#REF!+#REF!+#REF!+'01.10.19'!N43</f>
        <v>#REF!</v>
      </c>
      <c r="O43" s="6" t="e">
        <f>#REF!+#REF!+#REF!+#REF!+#REF!+#REF!+#REF!+#REF!+#REF!+#REF!+#REF!+#REF!+#REF!+#REF!+#REF!+#REF!+#REF!+#REF!+#REF!+#REF!+#REF!+#REF!+#REF!+#REF!+#REF!+#REF!+#REF!+#REF!+#REF!+'01.10.19'!O43</f>
        <v>#REF!</v>
      </c>
      <c r="P43" s="6" t="e">
        <f>#REF!+#REF!+#REF!+#REF!+#REF!+#REF!+#REF!+#REF!+#REF!+#REF!+#REF!+#REF!+#REF!+#REF!+#REF!+#REF!+#REF!+#REF!+#REF!+#REF!+#REF!+#REF!+#REF!+#REF!+#REF!+#REF!+#REF!+#REF!+#REF!+'01.10.19'!P43</f>
        <v>#REF!</v>
      </c>
      <c r="Q43" s="18"/>
      <c r="R43" s="6" t="e">
        <f>#REF!+#REF!+#REF!+#REF!+#REF!+#REF!+#REF!+#REF!+#REF!+#REF!+#REF!+#REF!+#REF!+#REF!+#REF!+#REF!+#REF!+#REF!+#REF!+#REF!+#REF!+#REF!+#REF!+#REF!+#REF!+#REF!+#REF!+#REF!+#REF!+'01.10.19'!R43</f>
        <v>#REF!</v>
      </c>
      <c r="S43" s="17"/>
      <c r="T43" s="17">
        <v>0</v>
      </c>
      <c r="U43" s="17"/>
      <c r="V43" s="18"/>
      <c r="W43" s="57"/>
      <c r="X43" s="46"/>
      <c r="Y43" s="61"/>
      <c r="Z43" s="66"/>
      <c r="AA43" s="61"/>
      <c r="AB43" s="67"/>
      <c r="AC43" s="61"/>
      <c r="AD43" s="66"/>
      <c r="AE43" s="61"/>
      <c r="AF43" s="52">
        <f t="shared" si="3"/>
        <v>0</v>
      </c>
      <c r="AG43" s="46">
        <f t="shared" si="4"/>
        <v>0</v>
      </c>
      <c r="AH43" s="51">
        <f t="shared" si="5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/>
      <c r="D44" s="6" t="e">
        <f>#REF!+#REF!+#REF!+#REF!+#REF!+#REF!+#REF!+#REF!+#REF!+#REF!+#REF!+#REF!+#REF!+#REF!+#REF!+#REF!+#REF!+#REF!+#REF!+#REF!+#REF!+#REF!+#REF!+#REF!+#REF!+#REF!+#REF!+#REF!+#REF!+'01.10.19'!D44</f>
        <v>#REF!</v>
      </c>
      <c r="E44" s="6" t="e">
        <f>#REF!+#REF!+#REF!+#REF!+#REF!+#REF!+#REF!+#REF!+#REF!+#REF!+#REF!+#REF!+#REF!+#REF!+#REF!+#REF!+#REF!+#REF!+#REF!+#REF!+#REF!+#REF!+#REF!+#REF!+#REF!+#REF!+#REF!+#REF!+#REF!+'01.10.19'!E44</f>
        <v>#REF!</v>
      </c>
      <c r="F44" s="6" t="e">
        <f>#REF!+#REF!+#REF!+#REF!+#REF!+#REF!+#REF!+#REF!+#REF!+#REF!+#REF!+#REF!+#REF!+#REF!+#REF!+#REF!+#REF!+#REF!+#REF!+#REF!+#REF!+#REF!+#REF!+#REF!+#REF!+#REF!+#REF!+#REF!+#REF!+'01.10.19'!F44</f>
        <v>#REF!</v>
      </c>
      <c r="G44" s="6" t="e">
        <f>#REF!+#REF!+#REF!+#REF!+#REF!+#REF!+#REF!+#REF!+#REF!+#REF!+#REF!+#REF!+#REF!+#REF!+#REF!+#REF!+#REF!+#REF!+#REF!+#REF!+#REF!+#REF!+#REF!+#REF!+#REF!+#REF!+#REF!+#REF!+#REF!+'01.10.19'!G44</f>
        <v>#REF!</v>
      </c>
      <c r="H44" s="6" t="e">
        <f>#REF!+#REF!+#REF!+#REF!+#REF!+#REF!+#REF!+#REF!+#REF!+#REF!+#REF!+#REF!+#REF!+#REF!+#REF!+#REF!+#REF!+#REF!+#REF!+#REF!+#REF!+#REF!+#REF!+#REF!+#REF!+#REF!+#REF!+#REF!+#REF!+'01.10.19'!H44</f>
        <v>#REF!</v>
      </c>
      <c r="I44" s="6" t="e">
        <f>#REF!+#REF!+#REF!+#REF!+#REF!+#REF!+#REF!+#REF!+#REF!+#REF!+#REF!+#REF!+#REF!+#REF!+#REF!+#REF!+#REF!+#REF!+#REF!+#REF!+#REF!+#REF!+#REF!+#REF!+#REF!+#REF!+#REF!+#REF!+#REF!+'01.10.19'!I44</f>
        <v>#REF!</v>
      </c>
      <c r="J44" s="6" t="e">
        <f>#REF!+#REF!+#REF!+#REF!+#REF!+#REF!+#REF!+#REF!+#REF!+#REF!+#REF!+#REF!+#REF!+#REF!+#REF!+#REF!+#REF!+#REF!+#REF!+#REF!+#REF!+#REF!+#REF!+#REF!+#REF!+#REF!+#REF!+#REF!+#REF!+'01.10.19'!J44</f>
        <v>#REF!</v>
      </c>
      <c r="K44" s="6" t="e">
        <f>#REF!+#REF!+#REF!+#REF!+#REF!+#REF!+#REF!+#REF!+#REF!+#REF!+#REF!+#REF!+#REF!+#REF!+#REF!+#REF!+#REF!+#REF!+#REF!+#REF!+#REF!+#REF!+#REF!+#REF!+#REF!+#REF!+#REF!+#REF!+#REF!+'01.10.19'!K44</f>
        <v>#REF!</v>
      </c>
      <c r="L44" s="6" t="e">
        <f>#REF!+#REF!+#REF!+#REF!+#REF!+#REF!+#REF!+#REF!+#REF!+#REF!+#REF!+#REF!+#REF!+#REF!+#REF!+#REF!+#REF!+#REF!+#REF!+#REF!+#REF!+#REF!+#REF!+#REF!+#REF!+#REF!+#REF!+#REF!+#REF!+'01.10.19'!L44</f>
        <v>#REF!</v>
      </c>
      <c r="M44" s="6" t="e">
        <f>#REF!+#REF!+#REF!+#REF!+#REF!+#REF!+#REF!+#REF!+#REF!+#REF!+#REF!+#REF!+#REF!+#REF!+#REF!+#REF!+#REF!+#REF!+#REF!+#REF!+#REF!+#REF!+#REF!+#REF!+#REF!+#REF!+#REF!+#REF!+#REF!+'01.10.19'!M44</f>
        <v>#REF!</v>
      </c>
      <c r="N44" s="6" t="e">
        <f>#REF!+#REF!+#REF!+#REF!+#REF!+#REF!+#REF!+#REF!+#REF!+#REF!+#REF!+#REF!+#REF!+#REF!+#REF!+#REF!+#REF!+#REF!+#REF!+#REF!+#REF!+#REF!+#REF!+#REF!+#REF!+#REF!+#REF!+#REF!+#REF!+'01.10.19'!N44</f>
        <v>#REF!</v>
      </c>
      <c r="O44" s="6" t="e">
        <f>#REF!+#REF!+#REF!+#REF!+#REF!+#REF!+#REF!+#REF!+#REF!+#REF!+#REF!+#REF!+#REF!+#REF!+#REF!+#REF!+#REF!+#REF!+#REF!+#REF!+#REF!+#REF!+#REF!+#REF!+#REF!+#REF!+#REF!+#REF!+#REF!+'01.10.19'!O44</f>
        <v>#REF!</v>
      </c>
      <c r="P44" s="6" t="e">
        <f>#REF!+#REF!+#REF!+#REF!+#REF!+#REF!+#REF!+#REF!+#REF!+#REF!+#REF!+#REF!+#REF!+#REF!+#REF!+#REF!+#REF!+#REF!+#REF!+#REF!+#REF!+#REF!+#REF!+#REF!+#REF!+#REF!+#REF!+#REF!+#REF!+'01.10.19'!P44</f>
        <v>#REF!</v>
      </c>
      <c r="Q44" s="7" t="e">
        <f t="shared" si="0"/>
        <v>#REF!</v>
      </c>
      <c r="R44" s="6" t="e">
        <f>#REF!+#REF!+#REF!+#REF!+#REF!+#REF!+#REF!+#REF!+#REF!+#REF!+#REF!+#REF!+#REF!+#REF!+#REF!+#REF!+#REF!+#REF!+#REF!+#REF!+#REF!+#REF!+#REF!+#REF!+#REF!+#REF!+#REF!+#REF!+#REF!+'01.10.19'!R44</f>
        <v>#REF!</v>
      </c>
      <c r="S44" s="6" t="e">
        <f t="shared" si="1"/>
        <v>#REF!</v>
      </c>
      <c r="T44" s="6">
        <v>-900</v>
      </c>
      <c r="U44" s="6" t="e">
        <f t="shared" si="2"/>
        <v>#REF!</v>
      </c>
      <c r="V44" s="86"/>
      <c r="W44" s="57"/>
      <c r="X44" s="46"/>
      <c r="Y44" s="61"/>
      <c r="Z44" s="66"/>
      <c r="AA44" s="61"/>
      <c r="AB44" s="67"/>
      <c r="AC44" s="61"/>
      <c r="AD44" s="66"/>
      <c r="AE44" s="61"/>
      <c r="AF44" s="52">
        <f t="shared" si="3"/>
        <v>0</v>
      </c>
      <c r="AG44" s="46" t="e">
        <f t="shared" si="4"/>
        <v>#REF!</v>
      </c>
      <c r="AH44" s="51" t="e">
        <f t="shared" si="5"/>
        <v>#REF!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/>
      <c r="D45" s="6" t="e">
        <f>#REF!+#REF!+#REF!+#REF!+#REF!+#REF!+#REF!+#REF!+#REF!+#REF!+#REF!+#REF!+#REF!+#REF!+#REF!+#REF!+#REF!+#REF!+#REF!+#REF!+#REF!+#REF!+#REF!+#REF!+#REF!+#REF!+#REF!+#REF!+#REF!+'01.10.19'!D45</f>
        <v>#REF!</v>
      </c>
      <c r="E45" s="6" t="e">
        <f>#REF!+#REF!+#REF!+#REF!+#REF!+#REF!+#REF!+#REF!+#REF!+#REF!+#REF!+#REF!+#REF!+#REF!+#REF!+#REF!+#REF!+#REF!+#REF!+#REF!+#REF!+#REF!+#REF!+#REF!+#REF!+#REF!+#REF!+#REF!+#REF!+'01.10.19'!E45</f>
        <v>#REF!</v>
      </c>
      <c r="F45" s="6" t="e">
        <f>#REF!+#REF!+#REF!+#REF!+#REF!+#REF!+#REF!+#REF!+#REF!+#REF!+#REF!+#REF!+#REF!+#REF!+#REF!+#REF!+#REF!+#REF!+#REF!+#REF!+#REF!+#REF!+#REF!+#REF!+#REF!+#REF!+#REF!+#REF!+#REF!+'01.10.19'!F45</f>
        <v>#REF!</v>
      </c>
      <c r="G45" s="6" t="e">
        <f>#REF!+#REF!+#REF!+#REF!+#REF!+#REF!+#REF!+#REF!+#REF!+#REF!+#REF!+#REF!+#REF!+#REF!+#REF!+#REF!+#REF!+#REF!+#REF!+#REF!+#REF!+#REF!+#REF!+#REF!+#REF!+#REF!+#REF!+#REF!+#REF!+'01.10.19'!G45</f>
        <v>#REF!</v>
      </c>
      <c r="H45" s="6" t="e">
        <f>#REF!+#REF!+#REF!+#REF!+#REF!+#REF!+#REF!+#REF!+#REF!+#REF!+#REF!+#REF!+#REF!+#REF!+#REF!+#REF!+#REF!+#REF!+#REF!+#REF!+#REF!+#REF!+#REF!+#REF!+#REF!+#REF!+#REF!+#REF!+#REF!+'01.10.19'!H45</f>
        <v>#REF!</v>
      </c>
      <c r="I45" s="6" t="e">
        <f>#REF!+#REF!+#REF!+#REF!+#REF!+#REF!+#REF!+#REF!+#REF!+#REF!+#REF!+#REF!+#REF!+#REF!+#REF!+#REF!+#REF!+#REF!+#REF!+#REF!+#REF!+#REF!+#REF!+#REF!+#REF!+#REF!+#REF!+#REF!+#REF!+'01.10.19'!I45</f>
        <v>#REF!</v>
      </c>
      <c r="J45" s="6" t="e">
        <f>#REF!+#REF!+#REF!+#REF!+#REF!+#REF!+#REF!+#REF!+#REF!+#REF!+#REF!+#REF!+#REF!+#REF!+#REF!+#REF!+#REF!+#REF!+#REF!+#REF!+#REF!+#REF!+#REF!+#REF!+#REF!+#REF!+#REF!+#REF!+#REF!+'01.10.19'!J45</f>
        <v>#REF!</v>
      </c>
      <c r="K45" s="6" t="e">
        <f>#REF!+#REF!+#REF!+#REF!+#REF!+#REF!+#REF!+#REF!+#REF!+#REF!+#REF!+#REF!+#REF!+#REF!+#REF!+#REF!+#REF!+#REF!+#REF!+#REF!+#REF!+#REF!+#REF!+#REF!+#REF!+#REF!+#REF!+#REF!+#REF!+'01.10.19'!K45</f>
        <v>#REF!</v>
      </c>
      <c r="L45" s="6" t="e">
        <f>#REF!+#REF!+#REF!+#REF!+#REF!+#REF!+#REF!+#REF!+#REF!+#REF!+#REF!+#REF!+#REF!+#REF!+#REF!+#REF!+#REF!+#REF!+#REF!+#REF!+#REF!+#REF!+#REF!+#REF!+#REF!+#REF!+#REF!+#REF!+#REF!+'01.10.19'!L45</f>
        <v>#REF!</v>
      </c>
      <c r="M45" s="6" t="e">
        <f>#REF!+#REF!+#REF!+#REF!+#REF!+#REF!+#REF!+#REF!+#REF!+#REF!+#REF!+#REF!+#REF!+#REF!+#REF!+#REF!+#REF!+#REF!+#REF!+#REF!+#REF!+#REF!+#REF!+#REF!+#REF!+#REF!+#REF!+#REF!+#REF!+'01.10.19'!M45</f>
        <v>#REF!</v>
      </c>
      <c r="N45" s="6" t="e">
        <f>#REF!+#REF!+#REF!+#REF!+#REF!+#REF!+#REF!+#REF!+#REF!+#REF!+#REF!+#REF!+#REF!+#REF!+#REF!+#REF!+#REF!+#REF!+#REF!+#REF!+#REF!+#REF!+#REF!+#REF!+#REF!+#REF!+#REF!+#REF!+#REF!+'01.10.19'!N45</f>
        <v>#REF!</v>
      </c>
      <c r="O45" s="6" t="e">
        <f>#REF!+#REF!+#REF!+#REF!+#REF!+#REF!+#REF!+#REF!+#REF!+#REF!+#REF!+#REF!+#REF!+#REF!+#REF!+#REF!+#REF!+#REF!+#REF!+#REF!+#REF!+#REF!+#REF!+#REF!+#REF!+#REF!+#REF!+#REF!+#REF!+'01.10.19'!O45</f>
        <v>#REF!</v>
      </c>
      <c r="P45" s="6" t="e">
        <f>#REF!+#REF!+#REF!+#REF!+#REF!+#REF!+#REF!+#REF!+#REF!+#REF!+#REF!+#REF!+#REF!+#REF!+#REF!+#REF!+#REF!+#REF!+#REF!+#REF!+#REF!+#REF!+#REF!+#REF!+#REF!+#REF!+#REF!+#REF!+#REF!+'01.10.19'!P45</f>
        <v>#REF!</v>
      </c>
      <c r="Q45" s="7" t="e">
        <f t="shared" si="0"/>
        <v>#REF!</v>
      </c>
      <c r="R45" s="6" t="e">
        <f>#REF!+#REF!+#REF!+#REF!+#REF!+#REF!+#REF!+#REF!+#REF!+#REF!+#REF!+#REF!+#REF!+#REF!+#REF!+#REF!+#REF!+#REF!+#REF!+#REF!+#REF!+#REF!+#REF!+#REF!+#REF!+#REF!+#REF!+#REF!+#REF!+'01.10.19'!R45</f>
        <v>#REF!</v>
      </c>
      <c r="S45" s="6" t="e">
        <f t="shared" si="1"/>
        <v>#REF!</v>
      </c>
      <c r="T45" s="6">
        <v>-2700</v>
      </c>
      <c r="U45" s="6" t="e">
        <f t="shared" si="2"/>
        <v>#REF!</v>
      </c>
      <c r="V45" s="86"/>
      <c r="W45" s="57"/>
      <c r="X45" s="46"/>
      <c r="Y45" s="61"/>
      <c r="Z45" s="66"/>
      <c r="AA45" s="61"/>
      <c r="AB45" s="67"/>
      <c r="AC45" s="61"/>
      <c r="AD45" s="66"/>
      <c r="AE45" s="61"/>
      <c r="AF45" s="52">
        <f t="shared" si="3"/>
        <v>0</v>
      </c>
      <c r="AG45" s="46" t="e">
        <f t="shared" si="4"/>
        <v>#REF!</v>
      </c>
      <c r="AH45" s="51" t="e">
        <f t="shared" si="5"/>
        <v>#REF!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/>
      <c r="D46" s="6" t="e">
        <f>#REF!+#REF!+#REF!+#REF!+#REF!+#REF!+#REF!+#REF!+#REF!+#REF!+#REF!+#REF!+#REF!+#REF!+#REF!+#REF!+#REF!+#REF!+#REF!+#REF!+#REF!+#REF!+#REF!+#REF!+#REF!+#REF!+#REF!+#REF!+#REF!+'01.10.19'!D46</f>
        <v>#REF!</v>
      </c>
      <c r="E46" s="6" t="e">
        <f>#REF!+#REF!+#REF!+#REF!+#REF!+#REF!+#REF!+#REF!+#REF!+#REF!+#REF!+#REF!+#REF!+#REF!+#REF!+#REF!+#REF!+#REF!+#REF!+#REF!+#REF!+#REF!+#REF!+#REF!+#REF!+#REF!+#REF!+#REF!+#REF!+'01.10.19'!E46</f>
        <v>#REF!</v>
      </c>
      <c r="F46" s="6" t="e">
        <f>#REF!+#REF!+#REF!+#REF!+#REF!+#REF!+#REF!+#REF!+#REF!+#REF!+#REF!+#REF!+#REF!+#REF!+#REF!+#REF!+#REF!+#REF!+#REF!+#REF!+#REF!+#REF!+#REF!+#REF!+#REF!+#REF!+#REF!+#REF!+#REF!+'01.10.19'!F46</f>
        <v>#REF!</v>
      </c>
      <c r="G46" s="6" t="e">
        <f>#REF!+#REF!+#REF!+#REF!+#REF!+#REF!+#REF!+#REF!+#REF!+#REF!+#REF!+#REF!+#REF!+#REF!+#REF!+#REF!+#REF!+#REF!+#REF!+#REF!+#REF!+#REF!+#REF!+#REF!+#REF!+#REF!+#REF!+#REF!+#REF!+'01.10.19'!G46</f>
        <v>#REF!</v>
      </c>
      <c r="H46" s="6" t="e">
        <f>#REF!+#REF!+#REF!+#REF!+#REF!+#REF!+#REF!+#REF!+#REF!+#REF!+#REF!+#REF!+#REF!+#REF!+#REF!+#REF!+#REF!+#REF!+#REF!+#REF!+#REF!+#REF!+#REF!+#REF!+#REF!+#REF!+#REF!+#REF!+#REF!+'01.10.19'!H46</f>
        <v>#REF!</v>
      </c>
      <c r="I46" s="6" t="e">
        <f>#REF!+#REF!+#REF!+#REF!+#REF!+#REF!+#REF!+#REF!+#REF!+#REF!+#REF!+#REF!+#REF!+#REF!+#REF!+#REF!+#REF!+#REF!+#REF!+#REF!+#REF!+#REF!+#REF!+#REF!+#REF!+#REF!+#REF!+#REF!+#REF!+'01.10.19'!I46</f>
        <v>#REF!</v>
      </c>
      <c r="J46" s="6" t="e">
        <f>#REF!+#REF!+#REF!+#REF!+#REF!+#REF!+#REF!+#REF!+#REF!+#REF!+#REF!+#REF!+#REF!+#REF!+#REF!+#REF!+#REF!+#REF!+#REF!+#REF!+#REF!+#REF!+#REF!+#REF!+#REF!+#REF!+#REF!+#REF!+#REF!+'01.10.19'!J46</f>
        <v>#REF!</v>
      </c>
      <c r="K46" s="6" t="e">
        <f>#REF!+#REF!+#REF!+#REF!+#REF!+#REF!+#REF!+#REF!+#REF!+#REF!+#REF!+#REF!+#REF!+#REF!+#REF!+#REF!+#REF!+#REF!+#REF!+#REF!+#REF!+#REF!+#REF!+#REF!+#REF!+#REF!+#REF!+#REF!+#REF!+'01.10.19'!K46</f>
        <v>#REF!</v>
      </c>
      <c r="L46" s="6" t="e">
        <f>#REF!+#REF!+#REF!+#REF!+#REF!+#REF!+#REF!+#REF!+#REF!+#REF!+#REF!+#REF!+#REF!+#REF!+#REF!+#REF!+#REF!+#REF!+#REF!+#REF!+#REF!+#REF!+#REF!+#REF!+#REF!+#REF!+#REF!+#REF!+#REF!+'01.10.19'!L46</f>
        <v>#REF!</v>
      </c>
      <c r="M46" s="6" t="e">
        <f>#REF!+#REF!+#REF!+#REF!+#REF!+#REF!+#REF!+#REF!+#REF!+#REF!+#REF!+#REF!+#REF!+#REF!+#REF!+#REF!+#REF!+#REF!+#REF!+#REF!+#REF!+#REF!+#REF!+#REF!+#REF!+#REF!+#REF!+#REF!+#REF!+'01.10.19'!M46</f>
        <v>#REF!</v>
      </c>
      <c r="N46" s="6" t="e">
        <f>#REF!+#REF!+#REF!+#REF!+#REF!+#REF!+#REF!+#REF!+#REF!+#REF!+#REF!+#REF!+#REF!+#REF!+#REF!+#REF!+#REF!+#REF!+#REF!+#REF!+#REF!+#REF!+#REF!+#REF!+#REF!+#REF!+#REF!+#REF!+#REF!+'01.10.19'!N46</f>
        <v>#REF!</v>
      </c>
      <c r="O46" s="6" t="e">
        <f>#REF!+#REF!+#REF!+#REF!+#REF!+#REF!+#REF!+#REF!+#REF!+#REF!+#REF!+#REF!+#REF!+#REF!+#REF!+#REF!+#REF!+#REF!+#REF!+#REF!+#REF!+#REF!+#REF!+#REF!+#REF!+#REF!+#REF!+#REF!+#REF!+'01.10.19'!O46</f>
        <v>#REF!</v>
      </c>
      <c r="P46" s="6" t="e">
        <f>#REF!+#REF!+#REF!+#REF!+#REF!+#REF!+#REF!+#REF!+#REF!+#REF!+#REF!+#REF!+#REF!+#REF!+#REF!+#REF!+#REF!+#REF!+#REF!+#REF!+#REF!+#REF!+#REF!+#REF!+#REF!+#REF!+#REF!+#REF!+#REF!+'01.10.19'!P46</f>
        <v>#REF!</v>
      </c>
      <c r="Q46" s="7" t="e">
        <f t="shared" si="0"/>
        <v>#REF!</v>
      </c>
      <c r="R46" s="6" t="e">
        <f>#REF!+#REF!+#REF!+#REF!+#REF!+#REF!+#REF!+#REF!+#REF!+#REF!+#REF!+#REF!+#REF!+#REF!+#REF!+#REF!+#REF!+#REF!+#REF!+#REF!+#REF!+#REF!+#REF!+#REF!+#REF!+#REF!+#REF!+#REF!+#REF!+'01.10.19'!R46</f>
        <v>#REF!</v>
      </c>
      <c r="S46" s="6" t="e">
        <f t="shared" si="1"/>
        <v>#REF!</v>
      </c>
      <c r="T46" s="6">
        <v>200</v>
      </c>
      <c r="U46" s="6" t="e">
        <f t="shared" si="2"/>
        <v>#REF!</v>
      </c>
      <c r="V46" s="86">
        <v>525</v>
      </c>
      <c r="W46" s="57"/>
      <c r="X46" s="46"/>
      <c r="Y46" s="61"/>
      <c r="Z46" s="66"/>
      <c r="AA46" s="61"/>
      <c r="AB46" s="67"/>
      <c r="AC46" s="61"/>
      <c r="AD46" s="66"/>
      <c r="AE46" s="61"/>
      <c r="AF46" s="52">
        <f t="shared" si="3"/>
        <v>0</v>
      </c>
      <c r="AG46" s="46" t="e">
        <f t="shared" si="4"/>
        <v>#REF!</v>
      </c>
      <c r="AH46" s="51" t="e">
        <f t="shared" si="5"/>
        <v>#REF!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/>
      <c r="D47" s="6" t="e">
        <f>#REF!+#REF!+#REF!+#REF!+#REF!+#REF!+#REF!+#REF!+#REF!+#REF!+#REF!+#REF!+#REF!+#REF!+#REF!+#REF!+#REF!+#REF!+#REF!+#REF!+#REF!+#REF!+#REF!+#REF!+#REF!+#REF!+#REF!+#REF!+#REF!+'01.10.19'!D47</f>
        <v>#REF!</v>
      </c>
      <c r="E47" s="6" t="e">
        <f>#REF!+#REF!+#REF!+#REF!+#REF!+#REF!+#REF!+#REF!+#REF!+#REF!+#REF!+#REF!+#REF!+#REF!+#REF!+#REF!+#REF!+#REF!+#REF!+#REF!+#REF!+#REF!+#REF!+#REF!+#REF!+#REF!+#REF!+#REF!+#REF!+'01.10.19'!E47</f>
        <v>#REF!</v>
      </c>
      <c r="F47" s="6" t="e">
        <f>#REF!+#REF!+#REF!+#REF!+#REF!+#REF!+#REF!+#REF!+#REF!+#REF!+#REF!+#REF!+#REF!+#REF!+#REF!+#REF!+#REF!+#REF!+#REF!+#REF!+#REF!+#REF!+#REF!+#REF!+#REF!+#REF!+#REF!+#REF!+#REF!+'01.10.19'!F47</f>
        <v>#REF!</v>
      </c>
      <c r="G47" s="6" t="e">
        <f>#REF!+#REF!+#REF!+#REF!+#REF!+#REF!+#REF!+#REF!+#REF!+#REF!+#REF!+#REF!+#REF!+#REF!+#REF!+#REF!+#REF!+#REF!+#REF!+#REF!+#REF!+#REF!+#REF!+#REF!+#REF!+#REF!+#REF!+#REF!+#REF!+'01.10.19'!G47</f>
        <v>#REF!</v>
      </c>
      <c r="H47" s="6" t="e">
        <f>#REF!+#REF!+#REF!+#REF!+#REF!+#REF!+#REF!+#REF!+#REF!+#REF!+#REF!+#REF!+#REF!+#REF!+#REF!+#REF!+#REF!+#REF!+#REF!+#REF!+#REF!+#REF!+#REF!+#REF!+#REF!+#REF!+#REF!+#REF!+#REF!+'01.10.19'!H47</f>
        <v>#REF!</v>
      </c>
      <c r="I47" s="6" t="e">
        <f>#REF!+#REF!+#REF!+#REF!+#REF!+#REF!+#REF!+#REF!+#REF!+#REF!+#REF!+#REF!+#REF!+#REF!+#REF!+#REF!+#REF!+#REF!+#REF!+#REF!+#REF!+#REF!+#REF!+#REF!+#REF!+#REF!+#REF!+#REF!+#REF!+'01.10.19'!I47</f>
        <v>#REF!</v>
      </c>
      <c r="J47" s="6" t="e">
        <f>#REF!+#REF!+#REF!+#REF!+#REF!+#REF!+#REF!+#REF!+#REF!+#REF!+#REF!+#REF!+#REF!+#REF!+#REF!+#REF!+#REF!+#REF!+#REF!+#REF!+#REF!+#REF!+#REF!+#REF!+#REF!+#REF!+#REF!+#REF!+#REF!+'01.10.19'!J47</f>
        <v>#REF!</v>
      </c>
      <c r="K47" s="6" t="e">
        <f>#REF!+#REF!+#REF!+#REF!+#REF!+#REF!+#REF!+#REF!+#REF!+#REF!+#REF!+#REF!+#REF!+#REF!+#REF!+#REF!+#REF!+#REF!+#REF!+#REF!+#REF!+#REF!+#REF!+#REF!+#REF!+#REF!+#REF!+#REF!+#REF!+'01.10.19'!K47</f>
        <v>#REF!</v>
      </c>
      <c r="L47" s="6" t="e">
        <f>#REF!+#REF!+#REF!+#REF!+#REF!+#REF!+#REF!+#REF!+#REF!+#REF!+#REF!+#REF!+#REF!+#REF!+#REF!+#REF!+#REF!+#REF!+#REF!+#REF!+#REF!+#REF!+#REF!+#REF!+#REF!+#REF!+#REF!+#REF!+#REF!+'01.10.19'!L47</f>
        <v>#REF!</v>
      </c>
      <c r="M47" s="6" t="e">
        <f>#REF!+#REF!+#REF!+#REF!+#REF!+#REF!+#REF!+#REF!+#REF!+#REF!+#REF!+#REF!+#REF!+#REF!+#REF!+#REF!+#REF!+#REF!+#REF!+#REF!+#REF!+#REF!+#REF!+#REF!+#REF!+#REF!+#REF!+#REF!+#REF!+'01.10.19'!M47</f>
        <v>#REF!</v>
      </c>
      <c r="N47" s="6" t="e">
        <f>#REF!+#REF!+#REF!+#REF!+#REF!+#REF!+#REF!+#REF!+#REF!+#REF!+#REF!+#REF!+#REF!+#REF!+#REF!+#REF!+#REF!+#REF!+#REF!+#REF!+#REF!+#REF!+#REF!+#REF!+#REF!+#REF!+#REF!+#REF!+#REF!+'01.10.19'!N47</f>
        <v>#REF!</v>
      </c>
      <c r="O47" s="6" t="e">
        <f>#REF!+#REF!+#REF!+#REF!+#REF!+#REF!+#REF!+#REF!+#REF!+#REF!+#REF!+#REF!+#REF!+#REF!+#REF!+#REF!+#REF!+#REF!+#REF!+#REF!+#REF!+#REF!+#REF!+#REF!+#REF!+#REF!+#REF!+#REF!+#REF!+'01.10.19'!O47</f>
        <v>#REF!</v>
      </c>
      <c r="P47" s="6" t="e">
        <f>#REF!+#REF!+#REF!+#REF!+#REF!+#REF!+#REF!+#REF!+#REF!+#REF!+#REF!+#REF!+#REF!+#REF!+#REF!+#REF!+#REF!+#REF!+#REF!+#REF!+#REF!+#REF!+#REF!+#REF!+#REF!+#REF!+#REF!+#REF!+#REF!+'01.10.19'!P47</f>
        <v>#REF!</v>
      </c>
      <c r="Q47" s="7" t="e">
        <f t="shared" si="0"/>
        <v>#REF!</v>
      </c>
      <c r="R47" s="6" t="e">
        <f>#REF!+#REF!+#REF!+#REF!+#REF!+#REF!+#REF!+#REF!+#REF!+#REF!+#REF!+#REF!+#REF!+#REF!+#REF!+#REF!+#REF!+#REF!+#REF!+#REF!+#REF!+#REF!+#REF!+#REF!+#REF!+#REF!+#REF!+#REF!+#REF!+'01.10.19'!R47</f>
        <v>#REF!</v>
      </c>
      <c r="S47" s="6" t="e">
        <f t="shared" si="1"/>
        <v>#REF!</v>
      </c>
      <c r="T47" s="6">
        <v>-260</v>
      </c>
      <c r="U47" s="6" t="e">
        <f t="shared" si="2"/>
        <v>#REF!</v>
      </c>
      <c r="V47" s="86">
        <f>340-280</f>
        <v>60</v>
      </c>
      <c r="W47" s="57"/>
      <c r="X47" s="46"/>
      <c r="Y47" s="61"/>
      <c r="Z47" s="66"/>
      <c r="AA47" s="61"/>
      <c r="AB47" s="67"/>
      <c r="AC47" s="61"/>
      <c r="AD47" s="66"/>
      <c r="AE47" s="61"/>
      <c r="AF47" s="52">
        <f t="shared" si="3"/>
        <v>0</v>
      </c>
      <c r="AG47" s="46" t="e">
        <f t="shared" si="4"/>
        <v>#REF!</v>
      </c>
      <c r="AH47" s="51" t="e">
        <f t="shared" si="5"/>
        <v>#REF!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/>
      <c r="D48" s="6" t="e">
        <f>#REF!+#REF!+#REF!+#REF!+#REF!+#REF!+#REF!+#REF!+#REF!+#REF!+#REF!+#REF!+#REF!+#REF!+#REF!+#REF!+#REF!+#REF!+#REF!+#REF!+#REF!+#REF!+#REF!+#REF!+#REF!+#REF!+#REF!+#REF!+#REF!+'01.10.19'!D48</f>
        <v>#REF!</v>
      </c>
      <c r="E48" s="6" t="e">
        <f>#REF!+#REF!+#REF!+#REF!+#REF!+#REF!+#REF!+#REF!+#REF!+#REF!+#REF!+#REF!+#REF!+#REF!+#REF!+#REF!+#REF!+#REF!+#REF!+#REF!+#REF!+#REF!+#REF!+#REF!+#REF!+#REF!+#REF!+#REF!+#REF!+'01.10.19'!E48</f>
        <v>#REF!</v>
      </c>
      <c r="F48" s="6" t="e">
        <f>#REF!+#REF!+#REF!+#REF!+#REF!+#REF!+#REF!+#REF!+#REF!+#REF!+#REF!+#REF!+#REF!+#REF!+#REF!+#REF!+#REF!+#REF!+#REF!+#REF!+#REF!+#REF!+#REF!+#REF!+#REF!+#REF!+#REF!+#REF!+#REF!+'01.10.19'!F48</f>
        <v>#REF!</v>
      </c>
      <c r="G48" s="6" t="e">
        <f>#REF!+#REF!+#REF!+#REF!+#REF!+#REF!+#REF!+#REF!+#REF!+#REF!+#REF!+#REF!+#REF!+#REF!+#REF!+#REF!+#REF!+#REF!+#REF!+#REF!+#REF!+#REF!+#REF!+#REF!+#REF!+#REF!+#REF!+#REF!+#REF!+'01.10.19'!G48</f>
        <v>#REF!</v>
      </c>
      <c r="H48" s="6" t="e">
        <f>#REF!+#REF!+#REF!+#REF!+#REF!+#REF!+#REF!+#REF!+#REF!+#REF!+#REF!+#REF!+#REF!+#REF!+#REF!+#REF!+#REF!+#REF!+#REF!+#REF!+#REF!+#REF!+#REF!+#REF!+#REF!+#REF!+#REF!+#REF!+#REF!+'01.10.19'!H48</f>
        <v>#REF!</v>
      </c>
      <c r="I48" s="6" t="e">
        <f>#REF!+#REF!+#REF!+#REF!+#REF!+#REF!+#REF!+#REF!+#REF!+#REF!+#REF!+#REF!+#REF!+#REF!+#REF!+#REF!+#REF!+#REF!+#REF!+#REF!+#REF!+#REF!+#REF!+#REF!+#REF!+#REF!+#REF!+#REF!+#REF!+'01.10.19'!I48</f>
        <v>#REF!</v>
      </c>
      <c r="J48" s="6" t="e">
        <f>#REF!+#REF!+#REF!+#REF!+#REF!+#REF!+#REF!+#REF!+#REF!+#REF!+#REF!+#REF!+#REF!+#REF!+#REF!+#REF!+#REF!+#REF!+#REF!+#REF!+#REF!+#REF!+#REF!+#REF!+#REF!+#REF!+#REF!+#REF!+#REF!+'01.10.19'!J48</f>
        <v>#REF!</v>
      </c>
      <c r="K48" s="6" t="e">
        <f>#REF!+#REF!+#REF!+#REF!+#REF!+#REF!+#REF!+#REF!+#REF!+#REF!+#REF!+#REF!+#REF!+#REF!+#REF!+#REF!+#REF!+#REF!+#REF!+#REF!+#REF!+#REF!+#REF!+#REF!+#REF!+#REF!+#REF!+#REF!+#REF!+'01.10.19'!K48</f>
        <v>#REF!</v>
      </c>
      <c r="L48" s="6" t="e">
        <f>#REF!+#REF!+#REF!+#REF!+#REF!+#REF!+#REF!+#REF!+#REF!+#REF!+#REF!+#REF!+#REF!+#REF!+#REF!+#REF!+#REF!+#REF!+#REF!+#REF!+#REF!+#REF!+#REF!+#REF!+#REF!+#REF!+#REF!+#REF!+#REF!+'01.10.19'!L48</f>
        <v>#REF!</v>
      </c>
      <c r="M48" s="6" t="e">
        <f>#REF!+#REF!+#REF!+#REF!+#REF!+#REF!+#REF!+#REF!+#REF!+#REF!+#REF!+#REF!+#REF!+#REF!+#REF!+#REF!+#REF!+#REF!+#REF!+#REF!+#REF!+#REF!+#REF!+#REF!+#REF!+#REF!+#REF!+#REF!+#REF!+'01.10.19'!M48</f>
        <v>#REF!</v>
      </c>
      <c r="N48" s="6" t="e">
        <f>#REF!+#REF!+#REF!+#REF!+#REF!+#REF!+#REF!+#REF!+#REF!+#REF!+#REF!+#REF!+#REF!+#REF!+#REF!+#REF!+#REF!+#REF!+#REF!+#REF!+#REF!+#REF!+#REF!+#REF!+#REF!+#REF!+#REF!+#REF!+#REF!+'01.10.19'!N48</f>
        <v>#REF!</v>
      </c>
      <c r="O48" s="6" t="e">
        <f>#REF!+#REF!+#REF!+#REF!+#REF!+#REF!+#REF!+#REF!+#REF!+#REF!+#REF!+#REF!+#REF!+#REF!+#REF!+#REF!+#REF!+#REF!+#REF!+#REF!+#REF!+#REF!+#REF!+#REF!+#REF!+#REF!+#REF!+#REF!+#REF!+'01.10.19'!O48</f>
        <v>#REF!</v>
      </c>
      <c r="P48" s="6" t="e">
        <f>#REF!+#REF!+#REF!+#REF!+#REF!+#REF!+#REF!+#REF!+#REF!+#REF!+#REF!+#REF!+#REF!+#REF!+#REF!+#REF!+#REF!+#REF!+#REF!+#REF!+#REF!+#REF!+#REF!+#REF!+#REF!+#REF!+#REF!+#REF!+#REF!+'01.10.19'!P48</f>
        <v>#REF!</v>
      </c>
      <c r="Q48" s="7" t="e">
        <f t="shared" si="0"/>
        <v>#REF!</v>
      </c>
      <c r="R48" s="6" t="e">
        <f>#REF!+#REF!+#REF!+#REF!+#REF!+#REF!+#REF!+#REF!+#REF!+#REF!+#REF!+#REF!+#REF!+#REF!+#REF!+#REF!+#REF!+#REF!+#REF!+#REF!+#REF!+#REF!+#REF!+#REF!+#REF!+#REF!+#REF!+#REF!+#REF!+'01.10.19'!R48</f>
        <v>#REF!</v>
      </c>
      <c r="S48" s="6" t="e">
        <f t="shared" si="1"/>
        <v>#REF!</v>
      </c>
      <c r="T48" s="6">
        <v>400</v>
      </c>
      <c r="U48" s="6" t="e">
        <f t="shared" si="2"/>
        <v>#REF!</v>
      </c>
      <c r="V48" s="86"/>
      <c r="W48" s="57"/>
      <c r="X48" s="46"/>
      <c r="Y48" s="61"/>
      <c r="Z48" s="66"/>
      <c r="AA48" s="61"/>
      <c r="AB48" s="67"/>
      <c r="AC48" s="61"/>
      <c r="AD48" s="66"/>
      <c r="AE48" s="61"/>
      <c r="AF48" s="52">
        <f t="shared" si="3"/>
        <v>0</v>
      </c>
      <c r="AG48" s="46" t="e">
        <f t="shared" si="4"/>
        <v>#REF!</v>
      </c>
      <c r="AH48" s="51" t="e">
        <f t="shared" si="5"/>
        <v>#REF!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/>
      <c r="D49" s="6" t="e">
        <f>#REF!+#REF!+#REF!+#REF!+#REF!+#REF!+#REF!+#REF!+#REF!+#REF!+#REF!+#REF!+#REF!+#REF!+#REF!+#REF!+#REF!+#REF!+#REF!+#REF!+#REF!+#REF!+#REF!+#REF!+#REF!+#REF!+#REF!+#REF!+#REF!+'01.10.19'!D49</f>
        <v>#REF!</v>
      </c>
      <c r="E49" s="6" t="e">
        <f>#REF!+#REF!+#REF!+#REF!+#REF!+#REF!+#REF!+#REF!+#REF!+#REF!+#REF!+#REF!+#REF!+#REF!+#REF!+#REF!+#REF!+#REF!+#REF!+#REF!+#REF!+#REF!+#REF!+#REF!+#REF!+#REF!+#REF!+#REF!+#REF!+'01.10.19'!E49</f>
        <v>#REF!</v>
      </c>
      <c r="F49" s="6" t="e">
        <f>#REF!+#REF!+#REF!+#REF!+#REF!+#REF!+#REF!+#REF!+#REF!+#REF!+#REF!+#REF!+#REF!+#REF!+#REF!+#REF!+#REF!+#REF!+#REF!+#REF!+#REF!+#REF!+#REF!+#REF!+#REF!+#REF!+#REF!+#REF!+#REF!+'01.10.19'!F49</f>
        <v>#REF!</v>
      </c>
      <c r="G49" s="6" t="e">
        <f>#REF!+#REF!+#REF!+#REF!+#REF!+#REF!+#REF!+#REF!+#REF!+#REF!+#REF!+#REF!+#REF!+#REF!+#REF!+#REF!+#REF!+#REF!+#REF!+#REF!+#REF!+#REF!+#REF!+#REF!+#REF!+#REF!+#REF!+#REF!+#REF!+'01.10.19'!G49</f>
        <v>#REF!</v>
      </c>
      <c r="H49" s="6" t="e">
        <f>#REF!+#REF!+#REF!+#REF!+#REF!+#REF!+#REF!+#REF!+#REF!+#REF!+#REF!+#REF!+#REF!+#REF!+#REF!+#REF!+#REF!+#REF!+#REF!+#REF!+#REF!+#REF!+#REF!+#REF!+#REF!+#REF!+#REF!+#REF!+#REF!+'01.10.19'!H49</f>
        <v>#REF!</v>
      </c>
      <c r="I49" s="6" t="e">
        <f>#REF!+#REF!+#REF!+#REF!+#REF!+#REF!+#REF!+#REF!+#REF!+#REF!+#REF!+#REF!+#REF!+#REF!+#REF!+#REF!+#REF!+#REF!+#REF!+#REF!+#REF!+#REF!+#REF!+#REF!+#REF!+#REF!+#REF!+#REF!+#REF!+'01.10.19'!I49</f>
        <v>#REF!</v>
      </c>
      <c r="J49" s="6" t="e">
        <f>#REF!+#REF!+#REF!+#REF!+#REF!+#REF!+#REF!+#REF!+#REF!+#REF!+#REF!+#REF!+#REF!+#REF!+#REF!+#REF!+#REF!+#REF!+#REF!+#REF!+#REF!+#REF!+#REF!+#REF!+#REF!+#REF!+#REF!+#REF!+#REF!+'01.10.19'!J49</f>
        <v>#REF!</v>
      </c>
      <c r="K49" s="6" t="e">
        <f>#REF!+#REF!+#REF!+#REF!+#REF!+#REF!+#REF!+#REF!+#REF!+#REF!+#REF!+#REF!+#REF!+#REF!+#REF!+#REF!+#REF!+#REF!+#REF!+#REF!+#REF!+#REF!+#REF!+#REF!+#REF!+#REF!+#REF!+#REF!+#REF!+'01.10.19'!K49</f>
        <v>#REF!</v>
      </c>
      <c r="L49" s="6" t="e">
        <f>#REF!+#REF!+#REF!+#REF!+#REF!+#REF!+#REF!+#REF!+#REF!+#REF!+#REF!+#REF!+#REF!+#REF!+#REF!+#REF!+#REF!+#REF!+#REF!+#REF!+#REF!+#REF!+#REF!+#REF!+#REF!+#REF!+#REF!+#REF!+#REF!+'01.10.19'!L49</f>
        <v>#REF!</v>
      </c>
      <c r="M49" s="6" t="e">
        <f>#REF!+#REF!+#REF!+#REF!+#REF!+#REF!+#REF!+#REF!+#REF!+#REF!+#REF!+#REF!+#REF!+#REF!+#REF!+#REF!+#REF!+#REF!+#REF!+#REF!+#REF!+#REF!+#REF!+#REF!+#REF!+#REF!+#REF!+#REF!+#REF!+'01.10.19'!M49</f>
        <v>#REF!</v>
      </c>
      <c r="N49" s="6" t="e">
        <f>#REF!+#REF!+#REF!+#REF!+#REF!+#REF!+#REF!+#REF!+#REF!+#REF!+#REF!+#REF!+#REF!+#REF!+#REF!+#REF!+#REF!+#REF!+#REF!+#REF!+#REF!+#REF!+#REF!+#REF!+#REF!+#REF!+#REF!+#REF!+#REF!+'01.10.19'!N49</f>
        <v>#REF!</v>
      </c>
      <c r="O49" s="6" t="e">
        <f>#REF!+#REF!+#REF!+#REF!+#REF!+#REF!+#REF!+#REF!+#REF!+#REF!+#REF!+#REF!+#REF!+#REF!+#REF!+#REF!+#REF!+#REF!+#REF!+#REF!+#REF!+#REF!+#REF!+#REF!+#REF!+#REF!+#REF!+#REF!+#REF!+'01.10.19'!O49</f>
        <v>#REF!</v>
      </c>
      <c r="P49" s="6" t="e">
        <f>#REF!+#REF!+#REF!+#REF!+#REF!+#REF!+#REF!+#REF!+#REF!+#REF!+#REF!+#REF!+#REF!+#REF!+#REF!+#REF!+#REF!+#REF!+#REF!+#REF!+#REF!+#REF!+#REF!+#REF!+#REF!+#REF!+#REF!+#REF!+#REF!+'01.10.19'!P49</f>
        <v>#REF!</v>
      </c>
      <c r="Q49" s="7" t="e">
        <f t="shared" si="0"/>
        <v>#REF!</v>
      </c>
      <c r="R49" s="6" t="e">
        <f>#REF!+#REF!+#REF!+#REF!+#REF!+#REF!+#REF!+#REF!+#REF!+#REF!+#REF!+#REF!+#REF!+#REF!+#REF!+#REF!+#REF!+#REF!+#REF!+#REF!+#REF!+#REF!+#REF!+#REF!+#REF!+#REF!+#REF!+#REF!+#REF!+'01.10.19'!R49</f>
        <v>#REF!</v>
      </c>
      <c r="S49" s="6" t="e">
        <f t="shared" si="1"/>
        <v>#REF!</v>
      </c>
      <c r="T49" s="6">
        <v>-2325</v>
      </c>
      <c r="U49" s="6" t="e">
        <f t="shared" si="2"/>
        <v>#REF!</v>
      </c>
      <c r="V49" s="86"/>
      <c r="W49" s="57"/>
      <c r="X49" s="46"/>
      <c r="Y49" s="61"/>
      <c r="Z49" s="66"/>
      <c r="AA49" s="61"/>
      <c r="AB49" s="67"/>
      <c r="AC49" s="61"/>
      <c r="AD49" s="66"/>
      <c r="AE49" s="61"/>
      <c r="AF49" s="52">
        <f t="shared" si="3"/>
        <v>0</v>
      </c>
      <c r="AG49" s="46" t="e">
        <f t="shared" si="4"/>
        <v>#REF!</v>
      </c>
      <c r="AH49" s="51" t="e">
        <f t="shared" si="5"/>
        <v>#REF!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/>
      <c r="D50" s="6" t="e">
        <f>#REF!+#REF!+#REF!+#REF!+#REF!+#REF!+#REF!+#REF!+#REF!+#REF!+#REF!+#REF!+#REF!+#REF!+#REF!+#REF!+#REF!+#REF!+#REF!+#REF!+#REF!+#REF!+#REF!+#REF!+#REF!+#REF!+#REF!+#REF!+#REF!+'01.10.19'!D50</f>
        <v>#REF!</v>
      </c>
      <c r="E50" s="6" t="e">
        <f>#REF!+#REF!+#REF!+#REF!+#REF!+#REF!+#REF!+#REF!+#REF!+#REF!+#REF!+#REF!+#REF!+#REF!+#REF!+#REF!+#REF!+#REF!+#REF!+#REF!+#REF!+#REF!+#REF!+#REF!+#REF!+#REF!+#REF!+#REF!+#REF!+'01.10.19'!E50</f>
        <v>#REF!</v>
      </c>
      <c r="F50" s="6" t="e">
        <f>#REF!+#REF!+#REF!+#REF!+#REF!+#REF!+#REF!+#REF!+#REF!+#REF!+#REF!+#REF!+#REF!+#REF!+#REF!+#REF!+#REF!+#REF!+#REF!+#REF!+#REF!+#REF!+#REF!+#REF!+#REF!+#REF!+#REF!+#REF!+#REF!+'01.10.19'!F50</f>
        <v>#REF!</v>
      </c>
      <c r="G50" s="6" t="e">
        <f>#REF!+#REF!+#REF!+#REF!+#REF!+#REF!+#REF!+#REF!+#REF!+#REF!+#REF!+#REF!+#REF!+#REF!+#REF!+#REF!+#REF!+#REF!+#REF!+#REF!+#REF!+#REF!+#REF!+#REF!+#REF!+#REF!+#REF!+#REF!+#REF!+'01.10.19'!G50</f>
        <v>#REF!</v>
      </c>
      <c r="H50" s="6" t="e">
        <f>#REF!+#REF!+#REF!+#REF!+#REF!+#REF!+#REF!+#REF!+#REF!+#REF!+#REF!+#REF!+#REF!+#REF!+#REF!+#REF!+#REF!+#REF!+#REF!+#REF!+#REF!+#REF!+#REF!+#REF!+#REF!+#REF!+#REF!+#REF!+#REF!+'01.10.19'!H50</f>
        <v>#REF!</v>
      </c>
      <c r="I50" s="6" t="e">
        <f>#REF!+#REF!+#REF!+#REF!+#REF!+#REF!+#REF!+#REF!+#REF!+#REF!+#REF!+#REF!+#REF!+#REF!+#REF!+#REF!+#REF!+#REF!+#REF!+#REF!+#REF!+#REF!+#REF!+#REF!+#REF!+#REF!+#REF!+#REF!+#REF!+'01.10.19'!I50</f>
        <v>#REF!</v>
      </c>
      <c r="J50" s="6" t="e">
        <f>#REF!+#REF!+#REF!+#REF!+#REF!+#REF!+#REF!+#REF!+#REF!+#REF!+#REF!+#REF!+#REF!+#REF!+#REF!+#REF!+#REF!+#REF!+#REF!+#REF!+#REF!+#REF!+#REF!+#REF!+#REF!+#REF!+#REF!+#REF!+#REF!+'01.10.19'!J50</f>
        <v>#REF!</v>
      </c>
      <c r="K50" s="6" t="e">
        <f>#REF!+#REF!+#REF!+#REF!+#REF!+#REF!+#REF!+#REF!+#REF!+#REF!+#REF!+#REF!+#REF!+#REF!+#REF!+#REF!+#REF!+#REF!+#REF!+#REF!+#REF!+#REF!+#REF!+#REF!+#REF!+#REF!+#REF!+#REF!+#REF!+'01.10.19'!K50</f>
        <v>#REF!</v>
      </c>
      <c r="L50" s="6" t="e">
        <f>#REF!+#REF!+#REF!+#REF!+#REF!+#REF!+#REF!+#REF!+#REF!+#REF!+#REF!+#REF!+#REF!+#REF!+#REF!+#REF!+#REF!+#REF!+#REF!+#REF!+#REF!+#REF!+#REF!+#REF!+#REF!+#REF!+#REF!+#REF!+#REF!+'01.10.19'!L50</f>
        <v>#REF!</v>
      </c>
      <c r="M50" s="6" t="e">
        <f>#REF!+#REF!+#REF!+#REF!+#REF!+#REF!+#REF!+#REF!+#REF!+#REF!+#REF!+#REF!+#REF!+#REF!+#REF!+#REF!+#REF!+#REF!+#REF!+#REF!+#REF!+#REF!+#REF!+#REF!+#REF!+#REF!+#REF!+#REF!+#REF!+'01.10.19'!M50</f>
        <v>#REF!</v>
      </c>
      <c r="N50" s="6" t="e">
        <f>#REF!+#REF!+#REF!+#REF!+#REF!+#REF!+#REF!+#REF!+#REF!+#REF!+#REF!+#REF!+#REF!+#REF!+#REF!+#REF!+#REF!+#REF!+#REF!+#REF!+#REF!+#REF!+#REF!+#REF!+#REF!+#REF!+#REF!+#REF!+#REF!+'01.10.19'!N50</f>
        <v>#REF!</v>
      </c>
      <c r="O50" s="6" t="e">
        <f>#REF!+#REF!+#REF!+#REF!+#REF!+#REF!+#REF!+#REF!+#REF!+#REF!+#REF!+#REF!+#REF!+#REF!+#REF!+#REF!+#REF!+#REF!+#REF!+#REF!+#REF!+#REF!+#REF!+#REF!+#REF!+#REF!+#REF!+#REF!+#REF!+'01.10.19'!O50</f>
        <v>#REF!</v>
      </c>
      <c r="P50" s="6" t="e">
        <f>#REF!+#REF!+#REF!+#REF!+#REF!+#REF!+#REF!+#REF!+#REF!+#REF!+#REF!+#REF!+#REF!+#REF!+#REF!+#REF!+#REF!+#REF!+#REF!+#REF!+#REF!+#REF!+#REF!+#REF!+#REF!+#REF!+#REF!+#REF!+#REF!+'01.10.19'!P50</f>
        <v>#REF!</v>
      </c>
      <c r="Q50" s="7" t="e">
        <f t="shared" si="0"/>
        <v>#REF!</v>
      </c>
      <c r="R50" s="6" t="e">
        <f>#REF!+#REF!+#REF!+#REF!+#REF!+#REF!+#REF!+#REF!+#REF!+#REF!+#REF!+#REF!+#REF!+#REF!+#REF!+#REF!+#REF!+#REF!+#REF!+#REF!+#REF!+#REF!+#REF!+#REF!+#REF!+#REF!+#REF!+#REF!+#REF!+'01.10.19'!R50</f>
        <v>#REF!</v>
      </c>
      <c r="S50" s="6" t="e">
        <f t="shared" si="1"/>
        <v>#REF!</v>
      </c>
      <c r="T50" s="6">
        <f>-18275+1700</f>
        <v>-16575</v>
      </c>
      <c r="U50" s="6" t="e">
        <f t="shared" si="2"/>
        <v>#REF!</v>
      </c>
      <c r="V50" s="86">
        <v>50</v>
      </c>
      <c r="W50" s="57"/>
      <c r="X50" s="46"/>
      <c r="Y50" s="61"/>
      <c r="Z50" s="47"/>
      <c r="AA50" s="61"/>
      <c r="AB50" s="64"/>
      <c r="AC50" s="61"/>
      <c r="AD50" s="66"/>
      <c r="AE50" s="61"/>
      <c r="AF50" s="52">
        <f t="shared" si="3"/>
        <v>0</v>
      </c>
      <c r="AG50" s="46" t="e">
        <f t="shared" si="4"/>
        <v>#REF!</v>
      </c>
      <c r="AH50" s="51" t="e">
        <f t="shared" si="5"/>
        <v>#REF!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/>
      <c r="D51" s="6" t="e">
        <f>#REF!+#REF!+#REF!+#REF!+#REF!+#REF!+#REF!+#REF!+#REF!+#REF!+#REF!+#REF!+#REF!+#REF!+#REF!+#REF!+#REF!+#REF!+#REF!+#REF!+#REF!+#REF!+#REF!+#REF!+#REF!+#REF!+#REF!+#REF!+#REF!+'01.10.19'!D51</f>
        <v>#REF!</v>
      </c>
      <c r="E51" s="6" t="e">
        <f>#REF!+#REF!+#REF!+#REF!+#REF!+#REF!+#REF!+#REF!+#REF!+#REF!+#REF!+#REF!+#REF!+#REF!+#REF!+#REF!+#REF!+#REF!+#REF!+#REF!+#REF!+#REF!+#REF!+#REF!+#REF!+#REF!+#REF!+#REF!+#REF!+'01.10.19'!E51</f>
        <v>#REF!</v>
      </c>
      <c r="F51" s="6" t="e">
        <f>#REF!+#REF!+#REF!+#REF!+#REF!+#REF!+#REF!+#REF!+#REF!+#REF!+#REF!+#REF!+#REF!+#REF!+#REF!+#REF!+#REF!+#REF!+#REF!+#REF!+#REF!+#REF!+#REF!+#REF!+#REF!+#REF!+#REF!+#REF!+#REF!+'01.10.19'!F51</f>
        <v>#REF!</v>
      </c>
      <c r="G51" s="6" t="e">
        <f>#REF!+#REF!+#REF!+#REF!+#REF!+#REF!+#REF!+#REF!+#REF!+#REF!+#REF!+#REF!+#REF!+#REF!+#REF!+#REF!+#REF!+#REF!+#REF!+#REF!+#REF!+#REF!+#REF!+#REF!+#REF!+#REF!+#REF!+#REF!+#REF!+'01.10.19'!G51</f>
        <v>#REF!</v>
      </c>
      <c r="H51" s="6" t="e">
        <f>#REF!+#REF!+#REF!+#REF!+#REF!+#REF!+#REF!+#REF!+#REF!+#REF!+#REF!+#REF!+#REF!+#REF!+#REF!+#REF!+#REF!+#REF!+#REF!+#REF!+#REF!+#REF!+#REF!+#REF!+#REF!+#REF!+#REF!+#REF!+#REF!+'01.10.19'!H51</f>
        <v>#REF!</v>
      </c>
      <c r="I51" s="6" t="e">
        <f>#REF!+#REF!+#REF!+#REF!+#REF!+#REF!+#REF!+#REF!+#REF!+#REF!+#REF!+#REF!+#REF!+#REF!+#REF!+#REF!+#REF!+#REF!+#REF!+#REF!+#REF!+#REF!+#REF!+#REF!+#REF!+#REF!+#REF!+#REF!+#REF!+'01.10.19'!I51</f>
        <v>#REF!</v>
      </c>
      <c r="J51" s="6" t="e">
        <f>#REF!+#REF!+#REF!+#REF!+#REF!+#REF!+#REF!+#REF!+#REF!+#REF!+#REF!+#REF!+#REF!+#REF!+#REF!+#REF!+#REF!+#REF!+#REF!+#REF!+#REF!+#REF!+#REF!+#REF!+#REF!+#REF!+#REF!+#REF!+#REF!+'01.10.19'!J51</f>
        <v>#REF!</v>
      </c>
      <c r="K51" s="6" t="e">
        <f>#REF!+#REF!+#REF!+#REF!+#REF!+#REF!+#REF!+#REF!+#REF!+#REF!+#REF!+#REF!+#REF!+#REF!+#REF!+#REF!+#REF!+#REF!+#REF!+#REF!+#REF!+#REF!+#REF!+#REF!+#REF!+#REF!+#REF!+#REF!+#REF!+'01.10.19'!K51</f>
        <v>#REF!</v>
      </c>
      <c r="L51" s="6" t="e">
        <f>#REF!+#REF!+#REF!+#REF!+#REF!+#REF!+#REF!+#REF!+#REF!+#REF!+#REF!+#REF!+#REF!+#REF!+#REF!+#REF!+#REF!+#REF!+#REF!+#REF!+#REF!+#REF!+#REF!+#REF!+#REF!+#REF!+#REF!+#REF!+#REF!+'01.10.19'!L51</f>
        <v>#REF!</v>
      </c>
      <c r="M51" s="6" t="e">
        <f>#REF!+#REF!+#REF!+#REF!+#REF!+#REF!+#REF!+#REF!+#REF!+#REF!+#REF!+#REF!+#REF!+#REF!+#REF!+#REF!+#REF!+#REF!+#REF!+#REF!+#REF!+#REF!+#REF!+#REF!+#REF!+#REF!+#REF!+#REF!+#REF!+'01.10.19'!M51</f>
        <v>#REF!</v>
      </c>
      <c r="N51" s="6" t="e">
        <f>#REF!+#REF!+#REF!+#REF!+#REF!+#REF!+#REF!+#REF!+#REF!+#REF!+#REF!+#REF!+#REF!+#REF!+#REF!+#REF!+#REF!+#REF!+#REF!+#REF!+#REF!+#REF!+#REF!+#REF!+#REF!+#REF!+#REF!+#REF!+#REF!+'01.10.19'!N51</f>
        <v>#REF!</v>
      </c>
      <c r="O51" s="6" t="e">
        <f>#REF!+#REF!+#REF!+#REF!+#REF!+#REF!+#REF!+#REF!+#REF!+#REF!+#REF!+#REF!+#REF!+#REF!+#REF!+#REF!+#REF!+#REF!+#REF!+#REF!+#REF!+#REF!+#REF!+#REF!+#REF!+#REF!+#REF!+#REF!+#REF!+'01.10.19'!O51</f>
        <v>#REF!</v>
      </c>
      <c r="P51" s="6" t="e">
        <f>#REF!+#REF!+#REF!+#REF!+#REF!+#REF!+#REF!+#REF!+#REF!+#REF!+#REF!+#REF!+#REF!+#REF!+#REF!+#REF!+#REF!+#REF!+#REF!+#REF!+#REF!+#REF!+#REF!+#REF!+#REF!+#REF!+#REF!+#REF!+#REF!+'01.10.19'!P51</f>
        <v>#REF!</v>
      </c>
      <c r="Q51" s="7" t="e">
        <f t="shared" si="0"/>
        <v>#REF!</v>
      </c>
      <c r="R51" s="6" t="e">
        <f>#REF!+#REF!+#REF!+#REF!+#REF!+#REF!+#REF!+#REF!+#REF!+#REF!+#REF!+#REF!+#REF!+#REF!+#REF!+#REF!+#REF!+#REF!+#REF!+#REF!+#REF!+#REF!+#REF!+#REF!+#REF!+#REF!+#REF!+#REF!+#REF!+'01.10.19'!R51</f>
        <v>#REF!</v>
      </c>
      <c r="S51" s="6" t="e">
        <f t="shared" si="1"/>
        <v>#REF!</v>
      </c>
      <c r="T51" s="6">
        <v>-3840</v>
      </c>
      <c r="U51" s="6" t="e">
        <f t="shared" si="2"/>
        <v>#REF!</v>
      </c>
      <c r="V51" s="86"/>
      <c r="W51" s="57"/>
      <c r="X51" s="46"/>
      <c r="Y51" s="61"/>
      <c r="Z51" s="66"/>
      <c r="AA51" s="61"/>
      <c r="AB51" s="67"/>
      <c r="AC51" s="61"/>
      <c r="AD51" s="66"/>
      <c r="AE51" s="61"/>
      <c r="AF51" s="52">
        <f t="shared" si="3"/>
        <v>0</v>
      </c>
      <c r="AG51" s="46" t="e">
        <f t="shared" si="4"/>
        <v>#REF!</v>
      </c>
      <c r="AH51" s="51" t="e">
        <f t="shared" si="5"/>
        <v>#REF!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/>
      <c r="D52" s="6" t="e">
        <f>#REF!+#REF!+#REF!+#REF!+#REF!+#REF!+#REF!+#REF!+#REF!+#REF!+#REF!+#REF!+#REF!+#REF!+#REF!+#REF!+#REF!+#REF!+#REF!+#REF!+#REF!+#REF!+#REF!+#REF!+#REF!+#REF!+#REF!+#REF!+#REF!+'01.10.19'!D52</f>
        <v>#REF!</v>
      </c>
      <c r="E52" s="6" t="e">
        <f>#REF!+#REF!+#REF!+#REF!+#REF!+#REF!+#REF!+#REF!+#REF!+#REF!+#REF!+#REF!+#REF!+#REF!+#REF!+#REF!+#REF!+#REF!+#REF!+#REF!+#REF!+#REF!+#REF!+#REF!+#REF!+#REF!+#REF!+#REF!+#REF!+'01.10.19'!E52</f>
        <v>#REF!</v>
      </c>
      <c r="F52" s="6" t="e">
        <f>#REF!+#REF!+#REF!+#REF!+#REF!+#REF!+#REF!+#REF!+#REF!+#REF!+#REF!+#REF!+#REF!+#REF!+#REF!+#REF!+#REF!+#REF!+#REF!+#REF!+#REF!+#REF!+#REF!+#REF!+#REF!+#REF!+#REF!+#REF!+#REF!+'01.10.19'!F52</f>
        <v>#REF!</v>
      </c>
      <c r="G52" s="6" t="e">
        <f>#REF!+#REF!+#REF!+#REF!+#REF!+#REF!+#REF!+#REF!+#REF!+#REF!+#REF!+#REF!+#REF!+#REF!+#REF!+#REF!+#REF!+#REF!+#REF!+#REF!+#REF!+#REF!+#REF!+#REF!+#REF!+#REF!+#REF!+#REF!+#REF!+'01.10.19'!G52</f>
        <v>#REF!</v>
      </c>
      <c r="H52" s="6" t="e">
        <f>#REF!+#REF!+#REF!+#REF!+#REF!+#REF!+#REF!+#REF!+#REF!+#REF!+#REF!+#REF!+#REF!+#REF!+#REF!+#REF!+#REF!+#REF!+#REF!+#REF!+#REF!+#REF!+#REF!+#REF!+#REF!+#REF!+#REF!+#REF!+#REF!+'01.10.19'!H52</f>
        <v>#REF!</v>
      </c>
      <c r="I52" s="6" t="e">
        <f>#REF!+#REF!+#REF!+#REF!+#REF!+#REF!+#REF!+#REF!+#REF!+#REF!+#REF!+#REF!+#REF!+#REF!+#REF!+#REF!+#REF!+#REF!+#REF!+#REF!+#REF!+#REF!+#REF!+#REF!+#REF!+#REF!+#REF!+#REF!+#REF!+'01.10.19'!I52</f>
        <v>#REF!</v>
      </c>
      <c r="J52" s="6" t="e">
        <f>#REF!+#REF!+#REF!+#REF!+#REF!+#REF!+#REF!+#REF!+#REF!+#REF!+#REF!+#REF!+#REF!+#REF!+#REF!+#REF!+#REF!+#REF!+#REF!+#REF!+#REF!+#REF!+#REF!+#REF!+#REF!+#REF!+#REF!+#REF!+#REF!+'01.10.19'!J52</f>
        <v>#REF!</v>
      </c>
      <c r="K52" s="6" t="e">
        <f>#REF!+#REF!+#REF!+#REF!+#REF!+#REF!+#REF!+#REF!+#REF!+#REF!+#REF!+#REF!+#REF!+#REF!+#REF!+#REF!+#REF!+#REF!+#REF!+#REF!+#REF!+#REF!+#REF!+#REF!+#REF!+#REF!+#REF!+#REF!+#REF!+'01.10.19'!K52</f>
        <v>#REF!</v>
      </c>
      <c r="L52" s="6" t="e">
        <f>#REF!+#REF!+#REF!+#REF!+#REF!+#REF!+#REF!+#REF!+#REF!+#REF!+#REF!+#REF!+#REF!+#REF!+#REF!+#REF!+#REF!+#REF!+#REF!+#REF!+#REF!+#REF!+#REF!+#REF!+#REF!+#REF!+#REF!+#REF!+#REF!+'01.10.19'!L52</f>
        <v>#REF!</v>
      </c>
      <c r="M52" s="6" t="e">
        <f>#REF!+#REF!+#REF!+#REF!+#REF!+#REF!+#REF!+#REF!+#REF!+#REF!+#REF!+#REF!+#REF!+#REF!+#REF!+#REF!+#REF!+#REF!+#REF!+#REF!+#REF!+#REF!+#REF!+#REF!+#REF!+#REF!+#REF!+#REF!+#REF!+'01.10.19'!M52</f>
        <v>#REF!</v>
      </c>
      <c r="N52" s="6" t="e">
        <f>#REF!+#REF!+#REF!+#REF!+#REF!+#REF!+#REF!+#REF!+#REF!+#REF!+#REF!+#REF!+#REF!+#REF!+#REF!+#REF!+#REF!+#REF!+#REF!+#REF!+#REF!+#REF!+#REF!+#REF!+#REF!+#REF!+#REF!+#REF!+#REF!+'01.10.19'!N52</f>
        <v>#REF!</v>
      </c>
      <c r="O52" s="6" t="e">
        <f>#REF!+#REF!+#REF!+#REF!+#REF!+#REF!+#REF!+#REF!+#REF!+#REF!+#REF!+#REF!+#REF!+#REF!+#REF!+#REF!+#REF!+#REF!+#REF!+#REF!+#REF!+#REF!+#REF!+#REF!+#REF!+#REF!+#REF!+#REF!+#REF!+'01.10.19'!O52</f>
        <v>#REF!</v>
      </c>
      <c r="P52" s="6" t="e">
        <f>#REF!+#REF!+#REF!+#REF!+#REF!+#REF!+#REF!+#REF!+#REF!+#REF!+#REF!+#REF!+#REF!+#REF!+#REF!+#REF!+#REF!+#REF!+#REF!+#REF!+#REF!+#REF!+#REF!+#REF!+#REF!+#REF!+#REF!+#REF!+#REF!+'01.10.19'!P52</f>
        <v>#REF!</v>
      </c>
      <c r="Q52" s="7" t="e">
        <f t="shared" si="0"/>
        <v>#REF!</v>
      </c>
      <c r="R52" s="6" t="e">
        <f>#REF!+#REF!+#REF!+#REF!+#REF!+#REF!+#REF!+#REF!+#REF!+#REF!+#REF!+#REF!+#REF!+#REF!+#REF!+#REF!+#REF!+#REF!+#REF!+#REF!+#REF!+#REF!+#REF!+#REF!+#REF!+#REF!+#REF!+#REF!+#REF!+'01.10.19'!R52</f>
        <v>#REF!</v>
      </c>
      <c r="S52" s="6" t="e">
        <f t="shared" si="1"/>
        <v>#REF!</v>
      </c>
      <c r="T52" s="6">
        <v>-2760</v>
      </c>
      <c r="U52" s="6" t="e">
        <f t="shared" si="2"/>
        <v>#REF!</v>
      </c>
      <c r="V52" s="86"/>
      <c r="W52" s="57"/>
      <c r="X52" s="46"/>
      <c r="Y52" s="61"/>
      <c r="Z52" s="66"/>
      <c r="AA52" s="61"/>
      <c r="AB52" s="67"/>
      <c r="AC52" s="61"/>
      <c r="AD52" s="66"/>
      <c r="AE52" s="61"/>
      <c r="AF52" s="52">
        <f t="shared" si="3"/>
        <v>0</v>
      </c>
      <c r="AG52" s="46" t="e">
        <f t="shared" si="4"/>
        <v>#REF!</v>
      </c>
      <c r="AH52" s="51" t="e">
        <f t="shared" si="5"/>
        <v>#REF!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/>
      <c r="D53" s="6" t="e">
        <f>#REF!+#REF!+#REF!+#REF!+#REF!+#REF!+#REF!+#REF!+#REF!+#REF!+#REF!+#REF!+#REF!+#REF!+#REF!+#REF!+#REF!+#REF!+#REF!+#REF!+#REF!+#REF!+#REF!+#REF!+#REF!+#REF!+#REF!+#REF!+#REF!+'01.10.19'!D53</f>
        <v>#REF!</v>
      </c>
      <c r="E53" s="6" t="e">
        <f>#REF!+#REF!+#REF!+#REF!+#REF!+#REF!+#REF!+#REF!+#REF!+#REF!+#REF!+#REF!+#REF!+#REF!+#REF!+#REF!+#REF!+#REF!+#REF!+#REF!+#REF!+#REF!+#REF!+#REF!+#REF!+#REF!+#REF!+#REF!+#REF!+'01.10.19'!E53</f>
        <v>#REF!</v>
      </c>
      <c r="F53" s="6" t="e">
        <f>#REF!+#REF!+#REF!+#REF!+#REF!+#REF!+#REF!+#REF!+#REF!+#REF!+#REF!+#REF!+#REF!+#REF!+#REF!+#REF!+#REF!+#REF!+#REF!+#REF!+#REF!+#REF!+#REF!+#REF!+#REF!+#REF!+#REF!+#REF!+#REF!+'01.10.19'!F53</f>
        <v>#REF!</v>
      </c>
      <c r="G53" s="6" t="e">
        <f>#REF!+#REF!+#REF!+#REF!+#REF!+#REF!+#REF!+#REF!+#REF!+#REF!+#REF!+#REF!+#REF!+#REF!+#REF!+#REF!+#REF!+#REF!+#REF!+#REF!+#REF!+#REF!+#REF!+#REF!+#REF!+#REF!+#REF!+#REF!+#REF!+'01.10.19'!G53</f>
        <v>#REF!</v>
      </c>
      <c r="H53" s="6" t="e">
        <f>#REF!+#REF!+#REF!+#REF!+#REF!+#REF!+#REF!+#REF!+#REF!+#REF!+#REF!+#REF!+#REF!+#REF!+#REF!+#REF!+#REF!+#REF!+#REF!+#REF!+#REF!+#REF!+#REF!+#REF!+#REF!+#REF!+#REF!+#REF!+#REF!+'01.10.19'!H53</f>
        <v>#REF!</v>
      </c>
      <c r="I53" s="6" t="e">
        <f>#REF!+#REF!+#REF!+#REF!+#REF!+#REF!+#REF!+#REF!+#REF!+#REF!+#REF!+#REF!+#REF!+#REF!+#REF!+#REF!+#REF!+#REF!+#REF!+#REF!+#REF!+#REF!+#REF!+#REF!+#REF!+#REF!+#REF!+#REF!+#REF!+'01.10.19'!I53</f>
        <v>#REF!</v>
      </c>
      <c r="J53" s="6" t="e">
        <f>#REF!+#REF!+#REF!+#REF!+#REF!+#REF!+#REF!+#REF!+#REF!+#REF!+#REF!+#REF!+#REF!+#REF!+#REF!+#REF!+#REF!+#REF!+#REF!+#REF!+#REF!+#REF!+#REF!+#REF!+#REF!+#REF!+#REF!+#REF!+#REF!+'01.10.19'!J53</f>
        <v>#REF!</v>
      </c>
      <c r="K53" s="6" t="e">
        <f>#REF!+#REF!+#REF!+#REF!+#REF!+#REF!+#REF!+#REF!+#REF!+#REF!+#REF!+#REF!+#REF!+#REF!+#REF!+#REF!+#REF!+#REF!+#REF!+#REF!+#REF!+#REF!+#REF!+#REF!+#REF!+#REF!+#REF!+#REF!+#REF!+'01.10.19'!K53</f>
        <v>#REF!</v>
      </c>
      <c r="L53" s="6" t="e">
        <f>#REF!+#REF!+#REF!+#REF!+#REF!+#REF!+#REF!+#REF!+#REF!+#REF!+#REF!+#REF!+#REF!+#REF!+#REF!+#REF!+#REF!+#REF!+#REF!+#REF!+#REF!+#REF!+#REF!+#REF!+#REF!+#REF!+#REF!+#REF!+#REF!+'01.10.19'!L53</f>
        <v>#REF!</v>
      </c>
      <c r="M53" s="6" t="e">
        <f>#REF!+#REF!+#REF!+#REF!+#REF!+#REF!+#REF!+#REF!+#REF!+#REF!+#REF!+#REF!+#REF!+#REF!+#REF!+#REF!+#REF!+#REF!+#REF!+#REF!+#REF!+#REF!+#REF!+#REF!+#REF!+#REF!+#REF!+#REF!+#REF!+'01.10.19'!M53</f>
        <v>#REF!</v>
      </c>
      <c r="N53" s="6" t="e">
        <f>#REF!+#REF!+#REF!+#REF!+#REF!+#REF!+#REF!+#REF!+#REF!+#REF!+#REF!+#REF!+#REF!+#REF!+#REF!+#REF!+#REF!+#REF!+#REF!+#REF!+#REF!+#REF!+#REF!+#REF!+#REF!+#REF!+#REF!+#REF!+#REF!+'01.10.19'!N53</f>
        <v>#REF!</v>
      </c>
      <c r="O53" s="6" t="e">
        <f>#REF!+#REF!+#REF!+#REF!+#REF!+#REF!+#REF!+#REF!+#REF!+#REF!+#REF!+#REF!+#REF!+#REF!+#REF!+#REF!+#REF!+#REF!+#REF!+#REF!+#REF!+#REF!+#REF!+#REF!+#REF!+#REF!+#REF!+#REF!+#REF!+'01.10.19'!O53</f>
        <v>#REF!</v>
      </c>
      <c r="P53" s="6" t="e">
        <f>#REF!+#REF!+#REF!+#REF!+#REF!+#REF!+#REF!+#REF!+#REF!+#REF!+#REF!+#REF!+#REF!+#REF!+#REF!+#REF!+#REF!+#REF!+#REF!+#REF!+#REF!+#REF!+#REF!+#REF!+#REF!+#REF!+#REF!+#REF!+#REF!+'01.10.19'!P53</f>
        <v>#REF!</v>
      </c>
      <c r="Q53" s="7" t="e">
        <f t="shared" si="0"/>
        <v>#REF!</v>
      </c>
      <c r="R53" s="6" t="e">
        <f>#REF!+#REF!+#REF!+#REF!+#REF!+#REF!+#REF!+#REF!+#REF!+#REF!+#REF!+#REF!+#REF!+#REF!+#REF!+#REF!+#REF!+#REF!+#REF!+#REF!+#REF!+#REF!+#REF!+#REF!+#REF!+#REF!+#REF!+#REF!+#REF!+'01.10.19'!R53</f>
        <v>#REF!</v>
      </c>
      <c r="S53" s="6" t="e">
        <f t="shared" si="1"/>
        <v>#REF!</v>
      </c>
      <c r="T53" s="6">
        <v>-6125</v>
      </c>
      <c r="U53" s="6" t="e">
        <f t="shared" si="2"/>
        <v>#REF!</v>
      </c>
      <c r="V53" s="86">
        <v>50</v>
      </c>
      <c r="W53" s="57"/>
      <c r="X53" s="46"/>
      <c r="Y53" s="61"/>
      <c r="Z53" s="66"/>
      <c r="AA53" s="61"/>
      <c r="AB53" s="67"/>
      <c r="AC53" s="61"/>
      <c r="AD53" s="66"/>
      <c r="AE53" s="61"/>
      <c r="AF53" s="52">
        <f t="shared" si="3"/>
        <v>0</v>
      </c>
      <c r="AG53" s="46" t="e">
        <f t="shared" si="4"/>
        <v>#REF!</v>
      </c>
      <c r="AH53" s="51" t="e">
        <f t="shared" si="5"/>
        <v>#REF!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/>
      <c r="D54" s="6" t="e">
        <f>#REF!+#REF!+#REF!+#REF!+#REF!+#REF!+#REF!+#REF!+#REF!+#REF!+#REF!+#REF!+#REF!+#REF!+#REF!+#REF!+#REF!+#REF!+#REF!+#REF!+#REF!+#REF!+#REF!+#REF!+#REF!+#REF!+#REF!+#REF!+#REF!+'01.10.19'!D54</f>
        <v>#REF!</v>
      </c>
      <c r="E54" s="6" t="e">
        <f>#REF!+#REF!+#REF!+#REF!+#REF!+#REF!+#REF!+#REF!+#REF!+#REF!+#REF!+#REF!+#REF!+#REF!+#REF!+#REF!+#REF!+#REF!+#REF!+#REF!+#REF!+#REF!+#REF!+#REF!+#REF!+#REF!+#REF!+#REF!+#REF!+'01.10.19'!E54</f>
        <v>#REF!</v>
      </c>
      <c r="F54" s="6" t="e">
        <f>#REF!+#REF!+#REF!+#REF!+#REF!+#REF!+#REF!+#REF!+#REF!+#REF!+#REF!+#REF!+#REF!+#REF!+#REF!+#REF!+#REF!+#REF!+#REF!+#REF!+#REF!+#REF!+#REF!+#REF!+#REF!+#REF!+#REF!+#REF!+#REF!+'01.10.19'!F54</f>
        <v>#REF!</v>
      </c>
      <c r="G54" s="6" t="e">
        <f>#REF!+#REF!+#REF!+#REF!+#REF!+#REF!+#REF!+#REF!+#REF!+#REF!+#REF!+#REF!+#REF!+#REF!+#REF!+#REF!+#REF!+#REF!+#REF!+#REF!+#REF!+#REF!+#REF!+#REF!+#REF!+#REF!+#REF!+#REF!+#REF!+'01.10.19'!G54</f>
        <v>#REF!</v>
      </c>
      <c r="H54" s="6" t="e">
        <f>#REF!+#REF!+#REF!+#REF!+#REF!+#REF!+#REF!+#REF!+#REF!+#REF!+#REF!+#REF!+#REF!+#REF!+#REF!+#REF!+#REF!+#REF!+#REF!+#REF!+#REF!+#REF!+#REF!+#REF!+#REF!+#REF!+#REF!+#REF!+#REF!+'01.10.19'!H54</f>
        <v>#REF!</v>
      </c>
      <c r="I54" s="6" t="e">
        <f>#REF!+#REF!+#REF!+#REF!+#REF!+#REF!+#REF!+#REF!+#REF!+#REF!+#REF!+#REF!+#REF!+#REF!+#REF!+#REF!+#REF!+#REF!+#REF!+#REF!+#REF!+#REF!+#REF!+#REF!+#REF!+#REF!+#REF!+#REF!+#REF!+'01.10.19'!I54</f>
        <v>#REF!</v>
      </c>
      <c r="J54" s="6" t="e">
        <f>#REF!+#REF!+#REF!+#REF!+#REF!+#REF!+#REF!+#REF!+#REF!+#REF!+#REF!+#REF!+#REF!+#REF!+#REF!+#REF!+#REF!+#REF!+#REF!+#REF!+#REF!+#REF!+#REF!+#REF!+#REF!+#REF!+#REF!+#REF!+#REF!+'01.10.19'!J54</f>
        <v>#REF!</v>
      </c>
      <c r="K54" s="6" t="e">
        <f>#REF!+#REF!+#REF!+#REF!+#REF!+#REF!+#REF!+#REF!+#REF!+#REF!+#REF!+#REF!+#REF!+#REF!+#REF!+#REF!+#REF!+#REF!+#REF!+#REF!+#REF!+#REF!+#REF!+#REF!+#REF!+#REF!+#REF!+#REF!+#REF!+'01.10.19'!K54</f>
        <v>#REF!</v>
      </c>
      <c r="L54" s="6" t="e">
        <f>#REF!+#REF!+#REF!+#REF!+#REF!+#REF!+#REF!+#REF!+#REF!+#REF!+#REF!+#REF!+#REF!+#REF!+#REF!+#REF!+#REF!+#REF!+#REF!+#REF!+#REF!+#REF!+#REF!+#REF!+#REF!+#REF!+#REF!+#REF!+#REF!+'01.10.19'!L54</f>
        <v>#REF!</v>
      </c>
      <c r="M54" s="6" t="e">
        <f>#REF!+#REF!+#REF!+#REF!+#REF!+#REF!+#REF!+#REF!+#REF!+#REF!+#REF!+#REF!+#REF!+#REF!+#REF!+#REF!+#REF!+#REF!+#REF!+#REF!+#REF!+#REF!+#REF!+#REF!+#REF!+#REF!+#REF!+#REF!+#REF!+'01.10.19'!M54</f>
        <v>#REF!</v>
      </c>
      <c r="N54" s="6" t="e">
        <f>#REF!+#REF!+#REF!+#REF!+#REF!+#REF!+#REF!+#REF!+#REF!+#REF!+#REF!+#REF!+#REF!+#REF!+#REF!+#REF!+#REF!+#REF!+#REF!+#REF!+#REF!+#REF!+#REF!+#REF!+#REF!+#REF!+#REF!+#REF!+#REF!+'01.10.19'!N54</f>
        <v>#REF!</v>
      </c>
      <c r="O54" s="6" t="e">
        <f>#REF!+#REF!+#REF!+#REF!+#REF!+#REF!+#REF!+#REF!+#REF!+#REF!+#REF!+#REF!+#REF!+#REF!+#REF!+#REF!+#REF!+#REF!+#REF!+#REF!+#REF!+#REF!+#REF!+#REF!+#REF!+#REF!+#REF!+#REF!+#REF!+'01.10.19'!O54</f>
        <v>#REF!</v>
      </c>
      <c r="P54" s="6" t="e">
        <f>#REF!+#REF!+#REF!+#REF!+#REF!+#REF!+#REF!+#REF!+#REF!+#REF!+#REF!+#REF!+#REF!+#REF!+#REF!+#REF!+#REF!+#REF!+#REF!+#REF!+#REF!+#REF!+#REF!+#REF!+#REF!+#REF!+#REF!+#REF!+#REF!+'01.10.19'!P54</f>
        <v>#REF!</v>
      </c>
      <c r="Q54" s="7" t="e">
        <f t="shared" si="0"/>
        <v>#REF!</v>
      </c>
      <c r="R54" s="6" t="e">
        <f>#REF!+#REF!+#REF!+#REF!+#REF!+#REF!+#REF!+#REF!+#REF!+#REF!+#REF!+#REF!+#REF!+#REF!+#REF!+#REF!+#REF!+#REF!+#REF!+#REF!+#REF!+#REF!+#REF!+#REF!+#REF!+#REF!+#REF!+#REF!+#REF!+'01.10.19'!R54</f>
        <v>#REF!</v>
      </c>
      <c r="S54" s="6" t="e">
        <f t="shared" si="1"/>
        <v>#REF!</v>
      </c>
      <c r="T54" s="6">
        <v>-2950</v>
      </c>
      <c r="U54" s="6" t="e">
        <f t="shared" si="2"/>
        <v>#REF!</v>
      </c>
      <c r="V54" s="86">
        <v>275</v>
      </c>
      <c r="W54" s="57"/>
      <c r="X54" s="46"/>
      <c r="Y54" s="61"/>
      <c r="Z54" s="66"/>
      <c r="AA54" s="61"/>
      <c r="AB54" s="67"/>
      <c r="AC54" s="61"/>
      <c r="AD54" s="66"/>
      <c r="AE54" s="61"/>
      <c r="AF54" s="52">
        <f t="shared" si="3"/>
        <v>0</v>
      </c>
      <c r="AG54" s="46" t="e">
        <f t="shared" si="4"/>
        <v>#REF!</v>
      </c>
      <c r="AH54" s="51" t="e">
        <f t="shared" si="5"/>
        <v>#REF!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/>
      <c r="D55" s="6" t="e">
        <f>#REF!+#REF!+#REF!+#REF!+#REF!+#REF!+#REF!+#REF!+#REF!+#REF!+#REF!+#REF!+#REF!+#REF!+#REF!+#REF!+#REF!+#REF!+#REF!+#REF!+#REF!+#REF!+#REF!+#REF!+#REF!+#REF!+#REF!+#REF!+#REF!+'01.10.19'!D55</f>
        <v>#REF!</v>
      </c>
      <c r="E55" s="6" t="e">
        <f>#REF!+#REF!+#REF!+#REF!+#REF!+#REF!+#REF!+#REF!+#REF!+#REF!+#REF!+#REF!+#REF!+#REF!+#REF!+#REF!+#REF!+#REF!+#REF!+#REF!+#REF!+#REF!+#REF!+#REF!+#REF!+#REF!+#REF!+#REF!+#REF!+'01.10.19'!E55</f>
        <v>#REF!</v>
      </c>
      <c r="F55" s="6" t="e">
        <f>#REF!+#REF!+#REF!+#REF!+#REF!+#REF!+#REF!+#REF!+#REF!+#REF!+#REF!+#REF!+#REF!+#REF!+#REF!+#REF!+#REF!+#REF!+#REF!+#REF!+#REF!+#REF!+#REF!+#REF!+#REF!+#REF!+#REF!+#REF!+#REF!+'01.10.19'!F55</f>
        <v>#REF!</v>
      </c>
      <c r="G55" s="6" t="e">
        <f>#REF!+#REF!+#REF!+#REF!+#REF!+#REF!+#REF!+#REF!+#REF!+#REF!+#REF!+#REF!+#REF!+#REF!+#REF!+#REF!+#REF!+#REF!+#REF!+#REF!+#REF!+#REF!+#REF!+#REF!+#REF!+#REF!+#REF!+#REF!+#REF!+'01.10.19'!G55</f>
        <v>#REF!</v>
      </c>
      <c r="H55" s="6" t="e">
        <f>#REF!+#REF!+#REF!+#REF!+#REF!+#REF!+#REF!+#REF!+#REF!+#REF!+#REF!+#REF!+#REF!+#REF!+#REF!+#REF!+#REF!+#REF!+#REF!+#REF!+#REF!+#REF!+#REF!+#REF!+#REF!+#REF!+#REF!+#REF!+#REF!+'01.10.19'!H55</f>
        <v>#REF!</v>
      </c>
      <c r="I55" s="6" t="e">
        <f>#REF!+#REF!+#REF!+#REF!+#REF!+#REF!+#REF!+#REF!+#REF!+#REF!+#REF!+#REF!+#REF!+#REF!+#REF!+#REF!+#REF!+#REF!+#REF!+#REF!+#REF!+#REF!+#REF!+#REF!+#REF!+#REF!+#REF!+#REF!+#REF!+'01.10.19'!I55</f>
        <v>#REF!</v>
      </c>
      <c r="J55" s="6" t="e">
        <f>#REF!+#REF!+#REF!+#REF!+#REF!+#REF!+#REF!+#REF!+#REF!+#REF!+#REF!+#REF!+#REF!+#REF!+#REF!+#REF!+#REF!+#REF!+#REF!+#REF!+#REF!+#REF!+#REF!+#REF!+#REF!+#REF!+#REF!+#REF!+#REF!+'01.10.19'!J55</f>
        <v>#REF!</v>
      </c>
      <c r="K55" s="6" t="e">
        <f>#REF!+#REF!+#REF!+#REF!+#REF!+#REF!+#REF!+#REF!+#REF!+#REF!+#REF!+#REF!+#REF!+#REF!+#REF!+#REF!+#REF!+#REF!+#REF!+#REF!+#REF!+#REF!+#REF!+#REF!+#REF!+#REF!+#REF!+#REF!+#REF!+'01.10.19'!K55</f>
        <v>#REF!</v>
      </c>
      <c r="L55" s="6" t="e">
        <f>#REF!+#REF!+#REF!+#REF!+#REF!+#REF!+#REF!+#REF!+#REF!+#REF!+#REF!+#REF!+#REF!+#REF!+#REF!+#REF!+#REF!+#REF!+#REF!+#REF!+#REF!+#REF!+#REF!+#REF!+#REF!+#REF!+#REF!+#REF!+#REF!+'01.10.19'!L55</f>
        <v>#REF!</v>
      </c>
      <c r="M55" s="6" t="e">
        <f>#REF!+#REF!+#REF!+#REF!+#REF!+#REF!+#REF!+#REF!+#REF!+#REF!+#REF!+#REF!+#REF!+#REF!+#REF!+#REF!+#REF!+#REF!+#REF!+#REF!+#REF!+#REF!+#REF!+#REF!+#REF!+#REF!+#REF!+#REF!+#REF!+'01.10.19'!M55</f>
        <v>#REF!</v>
      </c>
      <c r="N55" s="6" t="e">
        <f>#REF!+#REF!+#REF!+#REF!+#REF!+#REF!+#REF!+#REF!+#REF!+#REF!+#REF!+#REF!+#REF!+#REF!+#REF!+#REF!+#REF!+#REF!+#REF!+#REF!+#REF!+#REF!+#REF!+#REF!+#REF!+#REF!+#REF!+#REF!+#REF!+'01.10.19'!N55</f>
        <v>#REF!</v>
      </c>
      <c r="O55" s="6" t="e">
        <f>#REF!+#REF!+#REF!+#REF!+#REF!+#REF!+#REF!+#REF!+#REF!+#REF!+#REF!+#REF!+#REF!+#REF!+#REF!+#REF!+#REF!+#REF!+#REF!+#REF!+#REF!+#REF!+#REF!+#REF!+#REF!+#REF!+#REF!+#REF!+#REF!+'01.10.19'!O55</f>
        <v>#REF!</v>
      </c>
      <c r="P55" s="6" t="e">
        <f>#REF!+#REF!+#REF!+#REF!+#REF!+#REF!+#REF!+#REF!+#REF!+#REF!+#REF!+#REF!+#REF!+#REF!+#REF!+#REF!+#REF!+#REF!+#REF!+#REF!+#REF!+#REF!+#REF!+#REF!+#REF!+#REF!+#REF!+#REF!+#REF!+'01.10.19'!P55</f>
        <v>#REF!</v>
      </c>
      <c r="Q55" s="7" t="e">
        <f t="shared" si="0"/>
        <v>#REF!</v>
      </c>
      <c r="R55" s="6" t="e">
        <f>#REF!+#REF!+#REF!+#REF!+#REF!+#REF!+#REF!+#REF!+#REF!+#REF!+#REF!+#REF!+#REF!+#REF!+#REF!+#REF!+#REF!+#REF!+#REF!+#REF!+#REF!+#REF!+#REF!+#REF!+#REF!+#REF!+#REF!+#REF!+#REF!+'01.10.19'!R55</f>
        <v>#REF!</v>
      </c>
      <c r="S55" s="6" t="e">
        <f t="shared" si="1"/>
        <v>#REF!</v>
      </c>
      <c r="T55" s="6">
        <v>-100</v>
      </c>
      <c r="U55" s="6" t="e">
        <f t="shared" si="2"/>
        <v>#REF!</v>
      </c>
      <c r="V55" s="86"/>
      <c r="W55" s="57"/>
      <c r="X55" s="46"/>
      <c r="Y55" s="61"/>
      <c r="Z55" s="66"/>
      <c r="AA55" s="61"/>
      <c r="AB55" s="67"/>
      <c r="AC55" s="61"/>
      <c r="AD55" s="66"/>
      <c r="AE55" s="61"/>
      <c r="AF55" s="52">
        <f t="shared" si="3"/>
        <v>0</v>
      </c>
      <c r="AG55" s="46" t="e">
        <f t="shared" si="4"/>
        <v>#REF!</v>
      </c>
      <c r="AH55" s="51" t="e">
        <f t="shared" si="5"/>
        <v>#REF!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/>
      <c r="D56" s="6" t="e">
        <f>#REF!+#REF!+#REF!+#REF!+#REF!+#REF!+#REF!+#REF!+#REF!+#REF!+#REF!+#REF!+#REF!+#REF!+#REF!+#REF!+#REF!+#REF!+#REF!+#REF!+#REF!+#REF!+#REF!+#REF!+#REF!+#REF!+#REF!+#REF!+#REF!+'01.10.19'!D56</f>
        <v>#REF!</v>
      </c>
      <c r="E56" s="6" t="e">
        <f>#REF!+#REF!+#REF!+#REF!+#REF!+#REF!+#REF!+#REF!+#REF!+#REF!+#REF!+#REF!+#REF!+#REF!+#REF!+#REF!+#REF!+#REF!+#REF!+#REF!+#REF!+#REF!+#REF!+#REF!+#REF!+#REF!+#REF!+#REF!+#REF!+'01.10.19'!E56</f>
        <v>#REF!</v>
      </c>
      <c r="F56" s="6" t="e">
        <f>#REF!+#REF!+#REF!+#REF!+#REF!+#REF!+#REF!+#REF!+#REF!+#REF!+#REF!+#REF!+#REF!+#REF!+#REF!+#REF!+#REF!+#REF!+#REF!+#REF!+#REF!+#REF!+#REF!+#REF!+#REF!+#REF!+#REF!+#REF!+#REF!+'01.10.19'!F56</f>
        <v>#REF!</v>
      </c>
      <c r="G56" s="6" t="e">
        <f>#REF!+#REF!+#REF!+#REF!+#REF!+#REF!+#REF!+#REF!+#REF!+#REF!+#REF!+#REF!+#REF!+#REF!+#REF!+#REF!+#REF!+#REF!+#REF!+#REF!+#REF!+#REF!+#REF!+#REF!+#REF!+#REF!+#REF!+#REF!+#REF!+'01.10.19'!G56</f>
        <v>#REF!</v>
      </c>
      <c r="H56" s="6" t="e">
        <f>#REF!+#REF!+#REF!+#REF!+#REF!+#REF!+#REF!+#REF!+#REF!+#REF!+#REF!+#REF!+#REF!+#REF!+#REF!+#REF!+#REF!+#REF!+#REF!+#REF!+#REF!+#REF!+#REF!+#REF!+#REF!+#REF!+#REF!+#REF!+#REF!+'01.10.19'!H56</f>
        <v>#REF!</v>
      </c>
      <c r="I56" s="6" t="e">
        <f>#REF!+#REF!+#REF!+#REF!+#REF!+#REF!+#REF!+#REF!+#REF!+#REF!+#REF!+#REF!+#REF!+#REF!+#REF!+#REF!+#REF!+#REF!+#REF!+#REF!+#REF!+#REF!+#REF!+#REF!+#REF!+#REF!+#REF!+#REF!+#REF!+'01.10.19'!I56</f>
        <v>#REF!</v>
      </c>
      <c r="J56" s="6" t="e">
        <f>#REF!+#REF!+#REF!+#REF!+#REF!+#REF!+#REF!+#REF!+#REF!+#REF!+#REF!+#REF!+#REF!+#REF!+#REF!+#REF!+#REF!+#REF!+#REF!+#REF!+#REF!+#REF!+#REF!+#REF!+#REF!+#REF!+#REF!+#REF!+#REF!+'01.10.19'!J56</f>
        <v>#REF!</v>
      </c>
      <c r="K56" s="6" t="e">
        <f>#REF!+#REF!+#REF!+#REF!+#REF!+#REF!+#REF!+#REF!+#REF!+#REF!+#REF!+#REF!+#REF!+#REF!+#REF!+#REF!+#REF!+#REF!+#REF!+#REF!+#REF!+#REF!+#REF!+#REF!+#REF!+#REF!+#REF!+#REF!+#REF!+'01.10.19'!K56</f>
        <v>#REF!</v>
      </c>
      <c r="L56" s="6" t="e">
        <f>#REF!+#REF!+#REF!+#REF!+#REF!+#REF!+#REF!+#REF!+#REF!+#REF!+#REF!+#REF!+#REF!+#REF!+#REF!+#REF!+#REF!+#REF!+#REF!+#REF!+#REF!+#REF!+#REF!+#REF!+#REF!+#REF!+#REF!+#REF!+#REF!+'01.10.19'!L56</f>
        <v>#REF!</v>
      </c>
      <c r="M56" s="6" t="e">
        <f>#REF!+#REF!+#REF!+#REF!+#REF!+#REF!+#REF!+#REF!+#REF!+#REF!+#REF!+#REF!+#REF!+#REF!+#REF!+#REF!+#REF!+#REF!+#REF!+#REF!+#REF!+#REF!+#REF!+#REF!+#REF!+#REF!+#REF!+#REF!+#REF!+'01.10.19'!M56</f>
        <v>#REF!</v>
      </c>
      <c r="N56" s="6" t="e">
        <f>#REF!+#REF!+#REF!+#REF!+#REF!+#REF!+#REF!+#REF!+#REF!+#REF!+#REF!+#REF!+#REF!+#REF!+#REF!+#REF!+#REF!+#REF!+#REF!+#REF!+#REF!+#REF!+#REF!+#REF!+#REF!+#REF!+#REF!+#REF!+#REF!+'01.10.19'!N56</f>
        <v>#REF!</v>
      </c>
      <c r="O56" s="6" t="e">
        <f>#REF!+#REF!+#REF!+#REF!+#REF!+#REF!+#REF!+#REF!+#REF!+#REF!+#REF!+#REF!+#REF!+#REF!+#REF!+#REF!+#REF!+#REF!+#REF!+#REF!+#REF!+#REF!+#REF!+#REF!+#REF!+#REF!+#REF!+#REF!+#REF!+'01.10.19'!O56</f>
        <v>#REF!</v>
      </c>
      <c r="P56" s="6" t="e">
        <f>#REF!+#REF!+#REF!+#REF!+#REF!+#REF!+#REF!+#REF!+#REF!+#REF!+#REF!+#REF!+#REF!+#REF!+#REF!+#REF!+#REF!+#REF!+#REF!+#REF!+#REF!+#REF!+#REF!+#REF!+#REF!+#REF!+#REF!+#REF!+#REF!+'01.10.19'!P56</f>
        <v>#REF!</v>
      </c>
      <c r="Q56" s="7" t="e">
        <f t="shared" si="0"/>
        <v>#REF!</v>
      </c>
      <c r="R56" s="6" t="e">
        <f>#REF!+#REF!+#REF!+#REF!+#REF!+#REF!+#REF!+#REF!+#REF!+#REF!+#REF!+#REF!+#REF!+#REF!+#REF!+#REF!+#REF!+#REF!+#REF!+#REF!+#REF!+#REF!+#REF!+#REF!+#REF!+#REF!+#REF!+#REF!+#REF!+'01.10.19'!R56</f>
        <v>#REF!</v>
      </c>
      <c r="S56" s="6" t="e">
        <f t="shared" si="1"/>
        <v>#REF!</v>
      </c>
      <c r="T56" s="6">
        <v>0</v>
      </c>
      <c r="U56" s="6" t="e">
        <f t="shared" si="2"/>
        <v>#REF!</v>
      </c>
      <c r="V56" s="86"/>
      <c r="W56" s="57"/>
      <c r="X56" s="46"/>
      <c r="Y56" s="61"/>
      <c r="Z56" s="66"/>
      <c r="AA56" s="61"/>
      <c r="AB56" s="67"/>
      <c r="AC56" s="61"/>
      <c r="AD56" s="66"/>
      <c r="AE56" s="61"/>
      <c r="AF56" s="52">
        <f t="shared" si="3"/>
        <v>0</v>
      </c>
      <c r="AG56" s="46" t="e">
        <f t="shared" si="4"/>
        <v>#REF!</v>
      </c>
      <c r="AH56" s="51" t="e">
        <f t="shared" si="5"/>
        <v>#REF!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/>
      <c r="D57" s="6" t="e">
        <f>#REF!+#REF!+#REF!+#REF!+#REF!+#REF!+#REF!+#REF!+#REF!+#REF!+#REF!+#REF!+#REF!+#REF!+#REF!+#REF!+#REF!+#REF!+#REF!+#REF!+#REF!+#REF!+#REF!+#REF!+#REF!+#REF!+#REF!+#REF!+#REF!+'01.10.19'!D57</f>
        <v>#REF!</v>
      </c>
      <c r="E57" s="6" t="e">
        <f>#REF!+#REF!+#REF!+#REF!+#REF!+#REF!+#REF!+#REF!+#REF!+#REF!+#REF!+#REF!+#REF!+#REF!+#REF!+#REF!+#REF!+#REF!+#REF!+#REF!+#REF!+#REF!+#REF!+#REF!+#REF!+#REF!+#REF!+#REF!+#REF!+'01.10.19'!E57</f>
        <v>#REF!</v>
      </c>
      <c r="F57" s="6" t="e">
        <f>#REF!+#REF!+#REF!+#REF!+#REF!+#REF!+#REF!+#REF!+#REF!+#REF!+#REF!+#REF!+#REF!+#REF!+#REF!+#REF!+#REF!+#REF!+#REF!+#REF!+#REF!+#REF!+#REF!+#REF!+#REF!+#REF!+#REF!+#REF!+#REF!+'01.10.19'!F57</f>
        <v>#REF!</v>
      </c>
      <c r="G57" s="6" t="e">
        <f>#REF!+#REF!+#REF!+#REF!+#REF!+#REF!+#REF!+#REF!+#REF!+#REF!+#REF!+#REF!+#REF!+#REF!+#REF!+#REF!+#REF!+#REF!+#REF!+#REF!+#REF!+#REF!+#REF!+#REF!+#REF!+#REF!+#REF!+#REF!+#REF!+'01.10.19'!G57</f>
        <v>#REF!</v>
      </c>
      <c r="H57" s="6" t="e">
        <f>#REF!+#REF!+#REF!+#REF!+#REF!+#REF!+#REF!+#REF!+#REF!+#REF!+#REF!+#REF!+#REF!+#REF!+#REF!+#REF!+#REF!+#REF!+#REF!+#REF!+#REF!+#REF!+#REF!+#REF!+#REF!+#REF!+#REF!+#REF!+#REF!+'01.10.19'!H57</f>
        <v>#REF!</v>
      </c>
      <c r="I57" s="6" t="e">
        <f>#REF!+#REF!+#REF!+#REF!+#REF!+#REF!+#REF!+#REF!+#REF!+#REF!+#REF!+#REF!+#REF!+#REF!+#REF!+#REF!+#REF!+#REF!+#REF!+#REF!+#REF!+#REF!+#REF!+#REF!+#REF!+#REF!+#REF!+#REF!+#REF!+'01.10.19'!I57</f>
        <v>#REF!</v>
      </c>
      <c r="J57" s="6" t="e">
        <f>#REF!+#REF!+#REF!+#REF!+#REF!+#REF!+#REF!+#REF!+#REF!+#REF!+#REF!+#REF!+#REF!+#REF!+#REF!+#REF!+#REF!+#REF!+#REF!+#REF!+#REF!+#REF!+#REF!+#REF!+#REF!+#REF!+#REF!+#REF!+#REF!+'01.10.19'!J57</f>
        <v>#REF!</v>
      </c>
      <c r="K57" s="6" t="e">
        <f>#REF!+#REF!+#REF!+#REF!+#REF!+#REF!+#REF!+#REF!+#REF!+#REF!+#REF!+#REF!+#REF!+#REF!+#REF!+#REF!+#REF!+#REF!+#REF!+#REF!+#REF!+#REF!+#REF!+#REF!+#REF!+#REF!+#REF!+#REF!+#REF!+'01.10.19'!K57</f>
        <v>#REF!</v>
      </c>
      <c r="L57" s="6" t="e">
        <f>#REF!+#REF!+#REF!+#REF!+#REF!+#REF!+#REF!+#REF!+#REF!+#REF!+#REF!+#REF!+#REF!+#REF!+#REF!+#REF!+#REF!+#REF!+#REF!+#REF!+#REF!+#REF!+#REF!+#REF!+#REF!+#REF!+#REF!+#REF!+#REF!+'01.10.19'!L57</f>
        <v>#REF!</v>
      </c>
      <c r="M57" s="6" t="e">
        <f>#REF!+#REF!+#REF!+#REF!+#REF!+#REF!+#REF!+#REF!+#REF!+#REF!+#REF!+#REF!+#REF!+#REF!+#REF!+#REF!+#REF!+#REF!+#REF!+#REF!+#REF!+#REF!+#REF!+#REF!+#REF!+#REF!+#REF!+#REF!+#REF!+'01.10.19'!M57</f>
        <v>#REF!</v>
      </c>
      <c r="N57" s="6" t="e">
        <f>#REF!+#REF!+#REF!+#REF!+#REF!+#REF!+#REF!+#REF!+#REF!+#REF!+#REF!+#REF!+#REF!+#REF!+#REF!+#REF!+#REF!+#REF!+#REF!+#REF!+#REF!+#REF!+#REF!+#REF!+#REF!+#REF!+#REF!+#REF!+#REF!+'01.10.19'!N57</f>
        <v>#REF!</v>
      </c>
      <c r="O57" s="6" t="e">
        <f>#REF!+#REF!+#REF!+#REF!+#REF!+#REF!+#REF!+#REF!+#REF!+#REF!+#REF!+#REF!+#REF!+#REF!+#REF!+#REF!+#REF!+#REF!+#REF!+#REF!+#REF!+#REF!+#REF!+#REF!+#REF!+#REF!+#REF!+#REF!+#REF!+'01.10.19'!O57</f>
        <v>#REF!</v>
      </c>
      <c r="P57" s="6" t="e">
        <f>#REF!+#REF!+#REF!+#REF!+#REF!+#REF!+#REF!+#REF!+#REF!+#REF!+#REF!+#REF!+#REF!+#REF!+#REF!+#REF!+#REF!+#REF!+#REF!+#REF!+#REF!+#REF!+#REF!+#REF!+#REF!+#REF!+#REF!+#REF!+#REF!+'01.10.19'!P57</f>
        <v>#REF!</v>
      </c>
      <c r="Q57" s="7" t="e">
        <f t="shared" si="0"/>
        <v>#REF!</v>
      </c>
      <c r="R57" s="6" t="e">
        <f>#REF!+#REF!+#REF!+#REF!+#REF!+#REF!+#REF!+#REF!+#REF!+#REF!+#REF!+#REF!+#REF!+#REF!+#REF!+#REF!+#REF!+#REF!+#REF!+#REF!+#REF!+#REF!+#REF!+#REF!+#REF!+#REF!+#REF!+#REF!+#REF!+'01.10.19'!R57</f>
        <v>#REF!</v>
      </c>
      <c r="S57" s="6" t="e">
        <f t="shared" si="1"/>
        <v>#REF!</v>
      </c>
      <c r="T57" s="6">
        <v>-5590</v>
      </c>
      <c r="U57" s="6" t="e">
        <f t="shared" si="2"/>
        <v>#REF!</v>
      </c>
      <c r="V57" s="7">
        <v>50</v>
      </c>
      <c r="W57" s="57"/>
      <c r="X57" s="46"/>
      <c r="Y57" s="61"/>
      <c r="Z57" s="66"/>
      <c r="AA57" s="61"/>
      <c r="AB57" s="67"/>
      <c r="AC57" s="61"/>
      <c r="AD57" s="66"/>
      <c r="AE57" s="61"/>
      <c r="AF57" s="52">
        <f t="shared" si="3"/>
        <v>0</v>
      </c>
      <c r="AG57" s="46" t="e">
        <f t="shared" si="4"/>
        <v>#REF!</v>
      </c>
      <c r="AH57" s="51" t="e">
        <f t="shared" si="5"/>
        <v>#REF!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 t="e">
        <f>#REF!+#REF!+#REF!+#REF!+#REF!+#REF!+#REF!+#REF!+#REF!+#REF!+#REF!+#REF!+#REF!+#REF!+#REF!+#REF!+#REF!+#REF!+#REF!+#REF!+#REF!+#REF!+#REF!+#REF!+#REF!+#REF!+#REF!+#REF!+#REF!+'01.10.19'!D58</f>
        <v>#REF!</v>
      </c>
      <c r="E58" s="6" t="e">
        <f>#REF!+#REF!+#REF!+#REF!+#REF!+#REF!+#REF!+#REF!+#REF!+#REF!+#REF!+#REF!+#REF!+#REF!+#REF!+#REF!+#REF!+#REF!+#REF!+#REF!+#REF!+#REF!+#REF!+#REF!+#REF!+#REF!+#REF!+#REF!+#REF!+'01.10.19'!E58</f>
        <v>#REF!</v>
      </c>
      <c r="F58" s="6" t="e">
        <f>#REF!+#REF!+#REF!+#REF!+#REF!+#REF!+#REF!+#REF!+#REF!+#REF!+#REF!+#REF!+#REF!+#REF!+#REF!+#REF!+#REF!+#REF!+#REF!+#REF!+#REF!+#REF!+#REF!+#REF!+#REF!+#REF!+#REF!+#REF!+#REF!+'01.10.19'!F58</f>
        <v>#REF!</v>
      </c>
      <c r="G58" s="6" t="e">
        <f>#REF!+#REF!+#REF!+#REF!+#REF!+#REF!+#REF!+#REF!+#REF!+#REF!+#REF!+#REF!+#REF!+#REF!+#REF!+#REF!+#REF!+#REF!+#REF!+#REF!+#REF!+#REF!+#REF!+#REF!+#REF!+#REF!+#REF!+#REF!+#REF!+'01.10.19'!G58</f>
        <v>#REF!</v>
      </c>
      <c r="H58" s="6" t="e">
        <f>#REF!+#REF!+#REF!+#REF!+#REF!+#REF!+#REF!+#REF!+#REF!+#REF!+#REF!+#REF!+#REF!+#REF!+#REF!+#REF!+#REF!+#REF!+#REF!+#REF!+#REF!+#REF!+#REF!+#REF!+#REF!+#REF!+#REF!+#REF!+#REF!+'01.10.19'!H58</f>
        <v>#REF!</v>
      </c>
      <c r="I58" s="6" t="e">
        <f>#REF!+#REF!+#REF!+#REF!+#REF!+#REF!+#REF!+#REF!+#REF!+#REF!+#REF!+#REF!+#REF!+#REF!+#REF!+#REF!+#REF!+#REF!+#REF!+#REF!+#REF!+#REF!+#REF!+#REF!+#REF!+#REF!+#REF!+#REF!+#REF!+'01.10.19'!I58</f>
        <v>#REF!</v>
      </c>
      <c r="J58" s="6" t="e">
        <f>#REF!+#REF!+#REF!+#REF!+#REF!+#REF!+#REF!+#REF!+#REF!+#REF!+#REF!+#REF!+#REF!+#REF!+#REF!+#REF!+#REF!+#REF!+#REF!+#REF!+#REF!+#REF!+#REF!+#REF!+#REF!+#REF!+#REF!+#REF!+#REF!+'01.10.19'!J58</f>
        <v>#REF!</v>
      </c>
      <c r="K58" s="6" t="e">
        <f>#REF!+#REF!+#REF!+#REF!+#REF!+#REF!+#REF!+#REF!+#REF!+#REF!+#REF!+#REF!+#REF!+#REF!+#REF!+#REF!+#REF!+#REF!+#REF!+#REF!+#REF!+#REF!+#REF!+#REF!+#REF!+#REF!+#REF!+#REF!+#REF!+'01.10.19'!K58</f>
        <v>#REF!</v>
      </c>
      <c r="L58" s="6" t="e">
        <f>#REF!+#REF!+#REF!+#REF!+#REF!+#REF!+#REF!+#REF!+#REF!+#REF!+#REF!+#REF!+#REF!+#REF!+#REF!+#REF!+#REF!+#REF!+#REF!+#REF!+#REF!+#REF!+#REF!+#REF!+#REF!+#REF!+#REF!+#REF!+#REF!+'01.10.19'!L58</f>
        <v>#REF!</v>
      </c>
      <c r="M58" s="6" t="e">
        <f>#REF!+#REF!+#REF!+#REF!+#REF!+#REF!+#REF!+#REF!+#REF!+#REF!+#REF!+#REF!+#REF!+#REF!+#REF!+#REF!+#REF!+#REF!+#REF!+#REF!+#REF!+#REF!+#REF!+#REF!+#REF!+#REF!+#REF!+#REF!+#REF!+'01.10.19'!M58</f>
        <v>#REF!</v>
      </c>
      <c r="N58" s="6" t="e">
        <f>#REF!+#REF!+#REF!+#REF!+#REF!+#REF!+#REF!+#REF!+#REF!+#REF!+#REF!+#REF!+#REF!+#REF!+#REF!+#REF!+#REF!+#REF!+#REF!+#REF!+#REF!+#REF!+#REF!+#REF!+#REF!+#REF!+#REF!+#REF!+#REF!+'01.10.19'!N58</f>
        <v>#REF!</v>
      </c>
      <c r="O58" s="6" t="e">
        <f>#REF!+#REF!+#REF!+#REF!+#REF!+#REF!+#REF!+#REF!+#REF!+#REF!+#REF!+#REF!+#REF!+#REF!+#REF!+#REF!+#REF!+#REF!+#REF!+#REF!+#REF!+#REF!+#REF!+#REF!+#REF!+#REF!+#REF!+#REF!+#REF!+'01.10.19'!O58</f>
        <v>#REF!</v>
      </c>
      <c r="P58" s="6" t="e">
        <f>#REF!+#REF!+#REF!+#REF!+#REF!+#REF!+#REF!+#REF!+#REF!+#REF!+#REF!+#REF!+#REF!+#REF!+#REF!+#REF!+#REF!+#REF!+#REF!+#REF!+#REF!+#REF!+#REF!+#REF!+#REF!+#REF!+#REF!+#REF!+#REF!+'01.10.19'!P58</f>
        <v>#REF!</v>
      </c>
      <c r="Q58" s="7" t="e">
        <f t="shared" si="0"/>
        <v>#REF!</v>
      </c>
      <c r="R58" s="6" t="e">
        <f>#REF!+#REF!+#REF!+#REF!+#REF!+#REF!+#REF!+#REF!+#REF!+#REF!+#REF!+#REF!+#REF!+#REF!+#REF!+#REF!+#REF!+#REF!+#REF!+#REF!+#REF!+#REF!+#REF!+#REF!+#REF!+#REF!+#REF!+#REF!+#REF!+'01.10.19'!R58</f>
        <v>#REF!</v>
      </c>
      <c r="S58" s="6"/>
      <c r="T58" s="6">
        <v>0</v>
      </c>
      <c r="U58" s="6">
        <f t="shared" si="2"/>
        <v>0</v>
      </c>
      <c r="V58" s="7"/>
      <c r="W58" s="57"/>
      <c r="X58" s="46"/>
      <c r="Y58" s="61"/>
      <c r="Z58" s="66"/>
      <c r="AA58" s="61"/>
      <c r="AB58" s="67"/>
      <c r="AC58" s="61"/>
      <c r="AD58" s="66"/>
      <c r="AE58" s="61"/>
      <c r="AF58" s="52">
        <f t="shared" si="3"/>
        <v>0</v>
      </c>
      <c r="AG58" s="46">
        <f t="shared" si="4"/>
        <v>0</v>
      </c>
      <c r="AH58" s="51">
        <f t="shared" si="5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/>
      <c r="D59" s="6" t="e">
        <f>#REF!+#REF!+#REF!+#REF!+#REF!+#REF!+#REF!+#REF!+#REF!+#REF!+#REF!+#REF!+#REF!+#REF!+#REF!+#REF!+#REF!+#REF!+#REF!+#REF!+#REF!+#REF!+#REF!+#REF!+#REF!+#REF!+#REF!+#REF!+#REF!+'01.10.19'!D59</f>
        <v>#REF!</v>
      </c>
      <c r="E59" s="6" t="e">
        <f>#REF!+#REF!+#REF!+#REF!+#REF!+#REF!+#REF!+#REF!+#REF!+#REF!+#REF!+#REF!+#REF!+#REF!+#REF!+#REF!+#REF!+#REF!+#REF!+#REF!+#REF!+#REF!+#REF!+#REF!+#REF!+#REF!+#REF!+#REF!+#REF!+'01.10.19'!E59</f>
        <v>#REF!</v>
      </c>
      <c r="F59" s="6" t="e">
        <f>#REF!+#REF!+#REF!+#REF!+#REF!+#REF!+#REF!+#REF!+#REF!+#REF!+#REF!+#REF!+#REF!+#REF!+#REF!+#REF!+#REF!+#REF!+#REF!+#REF!+#REF!+#REF!+#REF!+#REF!+#REF!+#REF!+#REF!+#REF!+#REF!+'01.10.19'!F59</f>
        <v>#REF!</v>
      </c>
      <c r="G59" s="6" t="e">
        <f>#REF!+#REF!+#REF!+#REF!+#REF!+#REF!+#REF!+#REF!+#REF!+#REF!+#REF!+#REF!+#REF!+#REF!+#REF!+#REF!+#REF!+#REF!+#REF!+#REF!+#REF!+#REF!+#REF!+#REF!+#REF!+#REF!+#REF!+#REF!+#REF!+'01.10.19'!G59</f>
        <v>#REF!</v>
      </c>
      <c r="H59" s="6" t="e">
        <f>#REF!+#REF!+#REF!+#REF!+#REF!+#REF!+#REF!+#REF!+#REF!+#REF!+#REF!+#REF!+#REF!+#REF!+#REF!+#REF!+#REF!+#REF!+#REF!+#REF!+#REF!+#REF!+#REF!+#REF!+#REF!+#REF!+#REF!+#REF!+#REF!+'01.10.19'!H59</f>
        <v>#REF!</v>
      </c>
      <c r="I59" s="6" t="e">
        <f>#REF!+#REF!+#REF!+#REF!+#REF!+#REF!+#REF!+#REF!+#REF!+#REF!+#REF!+#REF!+#REF!+#REF!+#REF!+#REF!+#REF!+#REF!+#REF!+#REF!+#REF!+#REF!+#REF!+#REF!+#REF!+#REF!+#REF!+#REF!+#REF!+'01.10.19'!I59</f>
        <v>#REF!</v>
      </c>
      <c r="J59" s="6" t="e">
        <f>#REF!+#REF!+#REF!+#REF!+#REF!+#REF!+#REF!+#REF!+#REF!+#REF!+#REF!+#REF!+#REF!+#REF!+#REF!+#REF!+#REF!+#REF!+#REF!+#REF!+#REF!+#REF!+#REF!+#REF!+#REF!+#REF!+#REF!+#REF!+#REF!+'01.10.19'!J59</f>
        <v>#REF!</v>
      </c>
      <c r="K59" s="6" t="e">
        <f>#REF!+#REF!+#REF!+#REF!+#REF!+#REF!+#REF!+#REF!+#REF!+#REF!+#REF!+#REF!+#REF!+#REF!+#REF!+#REF!+#REF!+#REF!+#REF!+#REF!+#REF!+#REF!+#REF!+#REF!+#REF!+#REF!+#REF!+#REF!+#REF!+'01.10.19'!K59</f>
        <v>#REF!</v>
      </c>
      <c r="L59" s="6" t="e">
        <f>#REF!+#REF!+#REF!+#REF!+#REF!+#REF!+#REF!+#REF!+#REF!+#REF!+#REF!+#REF!+#REF!+#REF!+#REF!+#REF!+#REF!+#REF!+#REF!+#REF!+#REF!+#REF!+#REF!+#REF!+#REF!+#REF!+#REF!+#REF!+#REF!+'01.10.19'!L59</f>
        <v>#REF!</v>
      </c>
      <c r="M59" s="6" t="e">
        <f>#REF!+#REF!+#REF!+#REF!+#REF!+#REF!+#REF!+#REF!+#REF!+#REF!+#REF!+#REF!+#REF!+#REF!+#REF!+#REF!+#REF!+#REF!+#REF!+#REF!+#REF!+#REF!+#REF!+#REF!+#REF!+#REF!+#REF!+#REF!+#REF!+'01.10.19'!M59</f>
        <v>#REF!</v>
      </c>
      <c r="N59" s="6" t="e">
        <f>#REF!+#REF!+#REF!+#REF!+#REF!+#REF!+#REF!+#REF!+#REF!+#REF!+#REF!+#REF!+#REF!+#REF!+#REF!+#REF!+#REF!+#REF!+#REF!+#REF!+#REF!+#REF!+#REF!+#REF!+#REF!+#REF!+#REF!+#REF!+#REF!+'01.10.19'!N59</f>
        <v>#REF!</v>
      </c>
      <c r="O59" s="6" t="e">
        <f>#REF!+#REF!+#REF!+#REF!+#REF!+#REF!+#REF!+#REF!+#REF!+#REF!+#REF!+#REF!+#REF!+#REF!+#REF!+#REF!+#REF!+#REF!+#REF!+#REF!+#REF!+#REF!+#REF!+#REF!+#REF!+#REF!+#REF!+#REF!+#REF!+'01.10.19'!O59</f>
        <v>#REF!</v>
      </c>
      <c r="P59" s="6" t="e">
        <f>#REF!+#REF!+#REF!+#REF!+#REF!+#REF!+#REF!+#REF!+#REF!+#REF!+#REF!+#REF!+#REF!+#REF!+#REF!+#REF!+#REF!+#REF!+#REF!+#REF!+#REF!+#REF!+#REF!+#REF!+#REF!+#REF!+#REF!+#REF!+#REF!+'01.10.19'!P59</f>
        <v>#REF!</v>
      </c>
      <c r="Q59" s="7" t="e">
        <f t="shared" si="0"/>
        <v>#REF!</v>
      </c>
      <c r="R59" s="6" t="e">
        <f>#REF!+#REF!+#REF!+#REF!+#REF!+#REF!+#REF!+#REF!+#REF!+#REF!+#REF!+#REF!+#REF!+#REF!+#REF!+#REF!+#REF!+#REF!+#REF!+#REF!+#REF!+#REF!+#REF!+#REF!+#REF!+#REF!+#REF!+#REF!+#REF!+'01.10.19'!R59</f>
        <v>#REF!</v>
      </c>
      <c r="S59" s="6" t="e">
        <f t="shared" si="1"/>
        <v>#REF!</v>
      </c>
      <c r="T59" s="6">
        <v>0</v>
      </c>
      <c r="U59" s="6" t="e">
        <f t="shared" si="2"/>
        <v>#REF!</v>
      </c>
      <c r="V59" s="7"/>
      <c r="W59" s="57"/>
      <c r="X59" s="46"/>
      <c r="Y59" s="61"/>
      <c r="Z59" s="66"/>
      <c r="AA59" s="61"/>
      <c r="AB59" s="67"/>
      <c r="AC59" s="61"/>
      <c r="AD59" s="66"/>
      <c r="AE59" s="61"/>
      <c r="AF59" s="52">
        <f t="shared" si="3"/>
        <v>0</v>
      </c>
      <c r="AG59" s="46" t="e">
        <f t="shared" si="4"/>
        <v>#REF!</v>
      </c>
      <c r="AH59" s="51" t="e">
        <f t="shared" si="5"/>
        <v>#REF!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/>
      <c r="D60" s="6" t="e">
        <f>#REF!+#REF!+#REF!+#REF!+#REF!+#REF!+#REF!+#REF!+#REF!+#REF!+#REF!+#REF!+#REF!+#REF!+#REF!+#REF!+#REF!+#REF!+#REF!+#REF!+#REF!+#REF!+#REF!+#REF!+#REF!+#REF!+#REF!+#REF!+#REF!+'01.10.19'!D60</f>
        <v>#REF!</v>
      </c>
      <c r="E60" s="6" t="e">
        <f>#REF!+#REF!+#REF!+#REF!+#REF!+#REF!+#REF!+#REF!+#REF!+#REF!+#REF!+#REF!+#REF!+#REF!+#REF!+#REF!+#REF!+#REF!+#REF!+#REF!+#REF!+#REF!+#REF!+#REF!+#REF!+#REF!+#REF!+#REF!+#REF!+'01.10.19'!E60</f>
        <v>#REF!</v>
      </c>
      <c r="F60" s="6" t="e">
        <f>#REF!+#REF!+#REF!+#REF!+#REF!+#REF!+#REF!+#REF!+#REF!+#REF!+#REF!+#REF!+#REF!+#REF!+#REF!+#REF!+#REF!+#REF!+#REF!+#REF!+#REF!+#REF!+#REF!+#REF!+#REF!+#REF!+#REF!+#REF!+#REF!+'01.10.19'!F60</f>
        <v>#REF!</v>
      </c>
      <c r="G60" s="6" t="e">
        <f>#REF!+#REF!+#REF!+#REF!+#REF!+#REF!+#REF!+#REF!+#REF!+#REF!+#REF!+#REF!+#REF!+#REF!+#REF!+#REF!+#REF!+#REF!+#REF!+#REF!+#REF!+#REF!+#REF!+#REF!+#REF!+#REF!+#REF!+#REF!+#REF!+'01.10.19'!G60</f>
        <v>#REF!</v>
      </c>
      <c r="H60" s="6" t="e">
        <f>#REF!+#REF!+#REF!+#REF!+#REF!+#REF!+#REF!+#REF!+#REF!+#REF!+#REF!+#REF!+#REF!+#REF!+#REF!+#REF!+#REF!+#REF!+#REF!+#REF!+#REF!+#REF!+#REF!+#REF!+#REF!+#REF!+#REF!+#REF!+#REF!+'01.10.19'!H60</f>
        <v>#REF!</v>
      </c>
      <c r="I60" s="6" t="e">
        <f>#REF!+#REF!+#REF!+#REF!+#REF!+#REF!+#REF!+#REF!+#REF!+#REF!+#REF!+#REF!+#REF!+#REF!+#REF!+#REF!+#REF!+#REF!+#REF!+#REF!+#REF!+#REF!+#REF!+#REF!+#REF!+#REF!+#REF!+#REF!+#REF!+'01.10.19'!I60</f>
        <v>#REF!</v>
      </c>
      <c r="J60" s="6" t="e">
        <f>#REF!+#REF!+#REF!+#REF!+#REF!+#REF!+#REF!+#REF!+#REF!+#REF!+#REF!+#REF!+#REF!+#REF!+#REF!+#REF!+#REF!+#REF!+#REF!+#REF!+#REF!+#REF!+#REF!+#REF!+#REF!+#REF!+#REF!+#REF!+#REF!+'01.10.19'!J60</f>
        <v>#REF!</v>
      </c>
      <c r="K60" s="6" t="e">
        <f>#REF!+#REF!+#REF!+#REF!+#REF!+#REF!+#REF!+#REF!+#REF!+#REF!+#REF!+#REF!+#REF!+#REF!+#REF!+#REF!+#REF!+#REF!+#REF!+#REF!+#REF!+#REF!+#REF!+#REF!+#REF!+#REF!+#REF!+#REF!+#REF!+'01.10.19'!K60</f>
        <v>#REF!</v>
      </c>
      <c r="L60" s="6" t="e">
        <f>#REF!+#REF!+#REF!+#REF!+#REF!+#REF!+#REF!+#REF!+#REF!+#REF!+#REF!+#REF!+#REF!+#REF!+#REF!+#REF!+#REF!+#REF!+#REF!+#REF!+#REF!+#REF!+#REF!+#REF!+#REF!+#REF!+#REF!+#REF!+#REF!+'01.10.19'!L60</f>
        <v>#REF!</v>
      </c>
      <c r="M60" s="6" t="e">
        <f>#REF!+#REF!+#REF!+#REF!+#REF!+#REF!+#REF!+#REF!+#REF!+#REF!+#REF!+#REF!+#REF!+#REF!+#REF!+#REF!+#REF!+#REF!+#REF!+#REF!+#REF!+#REF!+#REF!+#REF!+#REF!+#REF!+#REF!+#REF!+#REF!+'01.10.19'!M60</f>
        <v>#REF!</v>
      </c>
      <c r="N60" s="6" t="e">
        <f>#REF!+#REF!+#REF!+#REF!+#REF!+#REF!+#REF!+#REF!+#REF!+#REF!+#REF!+#REF!+#REF!+#REF!+#REF!+#REF!+#REF!+#REF!+#REF!+#REF!+#REF!+#REF!+#REF!+#REF!+#REF!+#REF!+#REF!+#REF!+#REF!+'01.10.19'!N60</f>
        <v>#REF!</v>
      </c>
      <c r="O60" s="6" t="e">
        <f>#REF!+#REF!+#REF!+#REF!+#REF!+#REF!+#REF!+#REF!+#REF!+#REF!+#REF!+#REF!+#REF!+#REF!+#REF!+#REF!+#REF!+#REF!+#REF!+#REF!+#REF!+#REF!+#REF!+#REF!+#REF!+#REF!+#REF!+#REF!+#REF!+'01.10.19'!O60</f>
        <v>#REF!</v>
      </c>
      <c r="P60" s="6" t="e">
        <f>#REF!+#REF!+#REF!+#REF!+#REF!+#REF!+#REF!+#REF!+#REF!+#REF!+#REF!+#REF!+#REF!+#REF!+#REF!+#REF!+#REF!+#REF!+#REF!+#REF!+#REF!+#REF!+#REF!+#REF!+#REF!+#REF!+#REF!+#REF!+#REF!+'01.10.19'!P60</f>
        <v>#REF!</v>
      </c>
      <c r="Q60" s="7" t="e">
        <f t="shared" si="0"/>
        <v>#REF!</v>
      </c>
      <c r="R60" s="6" t="e">
        <f>#REF!+#REF!+#REF!+#REF!+#REF!+#REF!+#REF!+#REF!+#REF!+#REF!+#REF!+#REF!+#REF!+#REF!+#REF!+#REF!+#REF!+#REF!+#REF!+#REF!+#REF!+#REF!+#REF!+#REF!+#REF!+#REF!+#REF!+#REF!+#REF!+'01.10.19'!R60</f>
        <v>#REF!</v>
      </c>
      <c r="S60" s="6" t="e">
        <f t="shared" si="1"/>
        <v>#REF!</v>
      </c>
      <c r="T60" s="6">
        <v>-1750</v>
      </c>
      <c r="U60" s="6" t="e">
        <f t="shared" si="2"/>
        <v>#REF!</v>
      </c>
      <c r="V60" s="6">
        <v>1050</v>
      </c>
      <c r="W60" s="57"/>
      <c r="X60" s="46"/>
      <c r="Y60" s="61"/>
      <c r="Z60" s="66"/>
      <c r="AA60" s="61"/>
      <c r="AB60" s="67"/>
      <c r="AC60" s="61"/>
      <c r="AD60" s="66"/>
      <c r="AE60" s="61"/>
      <c r="AF60" s="52">
        <f t="shared" si="3"/>
        <v>0</v>
      </c>
      <c r="AG60" s="46" t="e">
        <f t="shared" si="4"/>
        <v>#REF!</v>
      </c>
      <c r="AH60" s="51" t="e">
        <f t="shared" si="5"/>
        <v>#REF!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/>
      <c r="D61" s="6" t="e">
        <f>#REF!+#REF!+#REF!+#REF!+#REF!+#REF!+#REF!+#REF!+#REF!+#REF!+#REF!+#REF!+#REF!+#REF!+#REF!+#REF!+#REF!+#REF!+#REF!+#REF!+#REF!+#REF!+#REF!+#REF!+#REF!+#REF!+#REF!+#REF!+#REF!+'01.10.19'!D61</f>
        <v>#REF!</v>
      </c>
      <c r="E61" s="6" t="e">
        <f>#REF!+#REF!+#REF!+#REF!+#REF!+#REF!+#REF!+#REF!+#REF!+#REF!+#REF!+#REF!+#REF!+#REF!+#REF!+#REF!+#REF!+#REF!+#REF!+#REF!+#REF!+#REF!+#REF!+#REF!+#REF!+#REF!+#REF!+#REF!+#REF!+'01.10.19'!E61</f>
        <v>#REF!</v>
      </c>
      <c r="F61" s="6" t="e">
        <f>#REF!+#REF!+#REF!+#REF!+#REF!+#REF!+#REF!+#REF!+#REF!+#REF!+#REF!+#REF!+#REF!+#REF!+#REF!+#REF!+#REF!+#REF!+#REF!+#REF!+#REF!+#REF!+#REF!+#REF!+#REF!+#REF!+#REF!+#REF!+#REF!+'01.10.19'!F61</f>
        <v>#REF!</v>
      </c>
      <c r="G61" s="6" t="e">
        <f>#REF!+#REF!+#REF!+#REF!+#REF!+#REF!+#REF!+#REF!+#REF!+#REF!+#REF!+#REF!+#REF!+#REF!+#REF!+#REF!+#REF!+#REF!+#REF!+#REF!+#REF!+#REF!+#REF!+#REF!+#REF!+#REF!+#REF!+#REF!+#REF!+'01.10.19'!G61</f>
        <v>#REF!</v>
      </c>
      <c r="H61" s="6" t="e">
        <f>#REF!+#REF!+#REF!+#REF!+#REF!+#REF!+#REF!+#REF!+#REF!+#REF!+#REF!+#REF!+#REF!+#REF!+#REF!+#REF!+#REF!+#REF!+#REF!+#REF!+#REF!+#REF!+#REF!+#REF!+#REF!+#REF!+#REF!+#REF!+#REF!+'01.10.19'!H61</f>
        <v>#REF!</v>
      </c>
      <c r="I61" s="6" t="e">
        <f>#REF!+#REF!+#REF!+#REF!+#REF!+#REF!+#REF!+#REF!+#REF!+#REF!+#REF!+#REF!+#REF!+#REF!+#REF!+#REF!+#REF!+#REF!+#REF!+#REF!+#REF!+#REF!+#REF!+#REF!+#REF!+#REF!+#REF!+#REF!+#REF!+'01.10.19'!I61</f>
        <v>#REF!</v>
      </c>
      <c r="J61" s="6" t="e">
        <f>#REF!+#REF!+#REF!+#REF!+#REF!+#REF!+#REF!+#REF!+#REF!+#REF!+#REF!+#REF!+#REF!+#REF!+#REF!+#REF!+#REF!+#REF!+#REF!+#REF!+#REF!+#REF!+#REF!+#REF!+#REF!+#REF!+#REF!+#REF!+#REF!+'01.10.19'!J61</f>
        <v>#REF!</v>
      </c>
      <c r="K61" s="6" t="e">
        <f>#REF!+#REF!+#REF!+#REF!+#REF!+#REF!+#REF!+#REF!+#REF!+#REF!+#REF!+#REF!+#REF!+#REF!+#REF!+#REF!+#REF!+#REF!+#REF!+#REF!+#REF!+#REF!+#REF!+#REF!+#REF!+#REF!+#REF!+#REF!+#REF!+'01.10.19'!K61</f>
        <v>#REF!</v>
      </c>
      <c r="L61" s="6" t="e">
        <f>#REF!+#REF!+#REF!+#REF!+#REF!+#REF!+#REF!+#REF!+#REF!+#REF!+#REF!+#REF!+#REF!+#REF!+#REF!+#REF!+#REF!+#REF!+#REF!+#REF!+#REF!+#REF!+#REF!+#REF!+#REF!+#REF!+#REF!+#REF!+#REF!+'01.10.19'!L61</f>
        <v>#REF!</v>
      </c>
      <c r="M61" s="6" t="e">
        <f>#REF!+#REF!+#REF!+#REF!+#REF!+#REF!+#REF!+#REF!+#REF!+#REF!+#REF!+#REF!+#REF!+#REF!+#REF!+#REF!+#REF!+#REF!+#REF!+#REF!+#REF!+#REF!+#REF!+#REF!+#REF!+#REF!+#REF!+#REF!+#REF!+'01.10.19'!M61</f>
        <v>#REF!</v>
      </c>
      <c r="N61" s="6" t="e">
        <f>#REF!+#REF!+#REF!+#REF!+#REF!+#REF!+#REF!+#REF!+#REF!+#REF!+#REF!+#REF!+#REF!+#REF!+#REF!+#REF!+#REF!+#REF!+#REF!+#REF!+#REF!+#REF!+#REF!+#REF!+#REF!+#REF!+#REF!+#REF!+#REF!+'01.10.19'!N61</f>
        <v>#REF!</v>
      </c>
      <c r="O61" s="6" t="e">
        <f>#REF!+#REF!+#REF!+#REF!+#REF!+#REF!+#REF!+#REF!+#REF!+#REF!+#REF!+#REF!+#REF!+#REF!+#REF!+#REF!+#REF!+#REF!+#REF!+#REF!+#REF!+#REF!+#REF!+#REF!+#REF!+#REF!+#REF!+#REF!+#REF!+'01.10.19'!O61</f>
        <v>#REF!</v>
      </c>
      <c r="P61" s="6" t="e">
        <f>#REF!+#REF!+#REF!+#REF!+#REF!+#REF!+#REF!+#REF!+#REF!+#REF!+#REF!+#REF!+#REF!+#REF!+#REF!+#REF!+#REF!+#REF!+#REF!+#REF!+#REF!+#REF!+#REF!+#REF!+#REF!+#REF!+#REF!+#REF!+#REF!+'01.10.19'!P61</f>
        <v>#REF!</v>
      </c>
      <c r="Q61" s="7" t="e">
        <f t="shared" si="0"/>
        <v>#REF!</v>
      </c>
      <c r="R61" s="6" t="e">
        <f>#REF!+#REF!+#REF!+#REF!+#REF!+#REF!+#REF!+#REF!+#REF!+#REF!+#REF!+#REF!+#REF!+#REF!+#REF!+#REF!+#REF!+#REF!+#REF!+#REF!+#REF!+#REF!+#REF!+#REF!+#REF!+#REF!+#REF!+#REF!+#REF!+'01.10.19'!R61</f>
        <v>#REF!</v>
      </c>
      <c r="S61" s="6" t="e">
        <f t="shared" si="1"/>
        <v>#REF!</v>
      </c>
      <c r="T61" s="6">
        <v>375</v>
      </c>
      <c r="U61" s="6" t="e">
        <f t="shared" si="2"/>
        <v>#REF!</v>
      </c>
      <c r="V61" s="58"/>
      <c r="W61" s="57"/>
      <c r="X61" s="46"/>
      <c r="Y61" s="61"/>
      <c r="Z61" s="66"/>
      <c r="AA61" s="61"/>
      <c r="AB61" s="67"/>
      <c r="AC61" s="61"/>
      <c r="AD61" s="66"/>
      <c r="AE61" s="61"/>
      <c r="AF61" s="52">
        <f t="shared" si="3"/>
        <v>0</v>
      </c>
      <c r="AG61" s="46" t="e">
        <f t="shared" si="4"/>
        <v>#REF!</v>
      </c>
      <c r="AH61" s="51" t="e">
        <f t="shared" si="5"/>
        <v>#REF!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/>
      <c r="D62" s="6" t="e">
        <f>#REF!+#REF!+#REF!+#REF!+#REF!+#REF!+#REF!+#REF!+#REF!+#REF!+#REF!+#REF!+#REF!+#REF!+#REF!+#REF!+#REF!+#REF!+#REF!+#REF!+#REF!+#REF!+#REF!+#REF!+#REF!+#REF!+#REF!+#REF!+#REF!+'01.10.19'!D62</f>
        <v>#REF!</v>
      </c>
      <c r="E62" s="6" t="e">
        <f>#REF!+#REF!+#REF!+#REF!+#REF!+#REF!+#REF!+#REF!+#REF!+#REF!+#REF!+#REF!+#REF!+#REF!+#REF!+#REF!+#REF!+#REF!+#REF!+#REF!+#REF!+#REF!+#REF!+#REF!+#REF!+#REF!+#REF!+#REF!+#REF!+'01.10.19'!E62</f>
        <v>#REF!</v>
      </c>
      <c r="F62" s="6" t="e">
        <f>#REF!+#REF!+#REF!+#REF!+#REF!+#REF!+#REF!+#REF!+#REF!+#REF!+#REF!+#REF!+#REF!+#REF!+#REF!+#REF!+#REF!+#REF!+#REF!+#REF!+#REF!+#REF!+#REF!+#REF!+#REF!+#REF!+#REF!+#REF!+#REF!+'01.10.19'!F62</f>
        <v>#REF!</v>
      </c>
      <c r="G62" s="6" t="e">
        <f>#REF!+#REF!+#REF!+#REF!+#REF!+#REF!+#REF!+#REF!+#REF!+#REF!+#REF!+#REF!+#REF!+#REF!+#REF!+#REF!+#REF!+#REF!+#REF!+#REF!+#REF!+#REF!+#REF!+#REF!+#REF!+#REF!+#REF!+#REF!+#REF!+'01.10.19'!G62</f>
        <v>#REF!</v>
      </c>
      <c r="H62" s="6" t="e">
        <f>#REF!+#REF!+#REF!+#REF!+#REF!+#REF!+#REF!+#REF!+#REF!+#REF!+#REF!+#REF!+#REF!+#REF!+#REF!+#REF!+#REF!+#REF!+#REF!+#REF!+#REF!+#REF!+#REF!+#REF!+#REF!+#REF!+#REF!+#REF!+#REF!+'01.10.19'!H62</f>
        <v>#REF!</v>
      </c>
      <c r="I62" s="6" t="e">
        <f>#REF!+#REF!+#REF!+#REF!+#REF!+#REF!+#REF!+#REF!+#REF!+#REF!+#REF!+#REF!+#REF!+#REF!+#REF!+#REF!+#REF!+#REF!+#REF!+#REF!+#REF!+#REF!+#REF!+#REF!+#REF!+#REF!+#REF!+#REF!+#REF!+'01.10.19'!I62</f>
        <v>#REF!</v>
      </c>
      <c r="J62" s="6" t="e">
        <f>#REF!+#REF!+#REF!+#REF!+#REF!+#REF!+#REF!+#REF!+#REF!+#REF!+#REF!+#REF!+#REF!+#REF!+#REF!+#REF!+#REF!+#REF!+#REF!+#REF!+#REF!+#REF!+#REF!+#REF!+#REF!+#REF!+#REF!+#REF!+#REF!+'01.10.19'!J62</f>
        <v>#REF!</v>
      </c>
      <c r="K62" s="6" t="e">
        <f>#REF!+#REF!+#REF!+#REF!+#REF!+#REF!+#REF!+#REF!+#REF!+#REF!+#REF!+#REF!+#REF!+#REF!+#REF!+#REF!+#REF!+#REF!+#REF!+#REF!+#REF!+#REF!+#REF!+#REF!+#REF!+#REF!+#REF!+#REF!+#REF!+'01.10.19'!K62</f>
        <v>#REF!</v>
      </c>
      <c r="L62" s="6" t="e">
        <f>#REF!+#REF!+#REF!+#REF!+#REF!+#REF!+#REF!+#REF!+#REF!+#REF!+#REF!+#REF!+#REF!+#REF!+#REF!+#REF!+#REF!+#REF!+#REF!+#REF!+#REF!+#REF!+#REF!+#REF!+#REF!+#REF!+#REF!+#REF!+#REF!+'01.10.19'!L62</f>
        <v>#REF!</v>
      </c>
      <c r="M62" s="6" t="e">
        <f>#REF!+#REF!+#REF!+#REF!+#REF!+#REF!+#REF!+#REF!+#REF!+#REF!+#REF!+#REF!+#REF!+#REF!+#REF!+#REF!+#REF!+#REF!+#REF!+#REF!+#REF!+#REF!+#REF!+#REF!+#REF!+#REF!+#REF!+#REF!+#REF!+'01.10.19'!M62</f>
        <v>#REF!</v>
      </c>
      <c r="N62" s="6" t="e">
        <f>#REF!+#REF!+#REF!+#REF!+#REF!+#REF!+#REF!+#REF!+#REF!+#REF!+#REF!+#REF!+#REF!+#REF!+#REF!+#REF!+#REF!+#REF!+#REF!+#REF!+#REF!+#REF!+#REF!+#REF!+#REF!+#REF!+#REF!+#REF!+#REF!+'01.10.19'!N62</f>
        <v>#REF!</v>
      </c>
      <c r="O62" s="6" t="e">
        <f>#REF!+#REF!+#REF!+#REF!+#REF!+#REF!+#REF!+#REF!+#REF!+#REF!+#REF!+#REF!+#REF!+#REF!+#REF!+#REF!+#REF!+#REF!+#REF!+#REF!+#REF!+#REF!+#REF!+#REF!+#REF!+#REF!+#REF!+#REF!+#REF!+'01.10.19'!O62</f>
        <v>#REF!</v>
      </c>
      <c r="P62" s="6" t="e">
        <f>#REF!+#REF!+#REF!+#REF!+#REF!+#REF!+#REF!+#REF!+#REF!+#REF!+#REF!+#REF!+#REF!+#REF!+#REF!+#REF!+#REF!+#REF!+#REF!+#REF!+#REF!+#REF!+#REF!+#REF!+#REF!+#REF!+#REF!+#REF!+#REF!+'01.10.19'!P62</f>
        <v>#REF!</v>
      </c>
      <c r="Q62" s="7" t="e">
        <f t="shared" si="0"/>
        <v>#REF!</v>
      </c>
      <c r="R62" s="6" t="e">
        <f>#REF!+#REF!+#REF!+#REF!+#REF!+#REF!+#REF!+#REF!+#REF!+#REF!+#REF!+#REF!+#REF!+#REF!+#REF!+#REF!+#REF!+#REF!+#REF!+#REF!+#REF!+#REF!+#REF!+#REF!+#REF!+#REF!+#REF!+#REF!+#REF!+'01.10.19'!R62</f>
        <v>#REF!</v>
      </c>
      <c r="S62" s="6" t="e">
        <f t="shared" si="1"/>
        <v>#REF!</v>
      </c>
      <c r="T62" s="6">
        <v>0</v>
      </c>
      <c r="U62" s="6" t="e">
        <f t="shared" si="2"/>
        <v>#REF!</v>
      </c>
      <c r="V62" s="85"/>
      <c r="W62" s="57"/>
      <c r="X62" s="46"/>
      <c r="Y62" s="61"/>
      <c r="Z62" s="66"/>
      <c r="AA62" s="61"/>
      <c r="AB62" s="67"/>
      <c r="AC62" s="61"/>
      <c r="AD62" s="66"/>
      <c r="AE62" s="61"/>
      <c r="AF62" s="52">
        <f t="shared" si="3"/>
        <v>0</v>
      </c>
      <c r="AG62" s="46" t="e">
        <f t="shared" si="4"/>
        <v>#REF!</v>
      </c>
      <c r="AH62" s="51" t="e">
        <f t="shared" si="5"/>
        <v>#REF!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/>
      <c r="D63" s="6" t="e">
        <f>#REF!+#REF!+#REF!+#REF!+#REF!+#REF!+#REF!+#REF!+#REF!+#REF!+#REF!+#REF!+#REF!+#REF!+#REF!+#REF!+#REF!+#REF!+#REF!+#REF!+#REF!+#REF!+#REF!+#REF!+#REF!+#REF!+#REF!+#REF!+#REF!+'01.10.19'!D63</f>
        <v>#REF!</v>
      </c>
      <c r="E63" s="6" t="e">
        <f>#REF!+#REF!+#REF!+#REF!+#REF!+#REF!+#REF!+#REF!+#REF!+#REF!+#REF!+#REF!+#REF!+#REF!+#REF!+#REF!+#REF!+#REF!+#REF!+#REF!+#REF!+#REF!+#REF!+#REF!+#REF!+#REF!+#REF!+#REF!+#REF!+'01.10.19'!E63</f>
        <v>#REF!</v>
      </c>
      <c r="F63" s="6" t="e">
        <f>#REF!+#REF!+#REF!+#REF!+#REF!+#REF!+#REF!+#REF!+#REF!+#REF!+#REF!+#REF!+#REF!+#REF!+#REF!+#REF!+#REF!+#REF!+#REF!+#REF!+#REF!+#REF!+#REF!+#REF!+#REF!+#REF!+#REF!+#REF!+#REF!+'01.10.19'!F63</f>
        <v>#REF!</v>
      </c>
      <c r="G63" s="6" t="e">
        <f>#REF!+#REF!+#REF!+#REF!+#REF!+#REF!+#REF!+#REF!+#REF!+#REF!+#REF!+#REF!+#REF!+#REF!+#REF!+#REF!+#REF!+#REF!+#REF!+#REF!+#REF!+#REF!+#REF!+#REF!+#REF!+#REF!+#REF!+#REF!+#REF!+'01.10.19'!G63</f>
        <v>#REF!</v>
      </c>
      <c r="H63" s="6" t="e">
        <f>#REF!+#REF!+#REF!+#REF!+#REF!+#REF!+#REF!+#REF!+#REF!+#REF!+#REF!+#REF!+#REF!+#REF!+#REF!+#REF!+#REF!+#REF!+#REF!+#REF!+#REF!+#REF!+#REF!+#REF!+#REF!+#REF!+#REF!+#REF!+#REF!+'01.10.19'!H63</f>
        <v>#REF!</v>
      </c>
      <c r="I63" s="6" t="e">
        <f>#REF!+#REF!+#REF!+#REF!+#REF!+#REF!+#REF!+#REF!+#REF!+#REF!+#REF!+#REF!+#REF!+#REF!+#REF!+#REF!+#REF!+#REF!+#REF!+#REF!+#REF!+#REF!+#REF!+#REF!+#REF!+#REF!+#REF!+#REF!+#REF!+'01.10.19'!I63</f>
        <v>#REF!</v>
      </c>
      <c r="J63" s="6" t="e">
        <f>#REF!+#REF!+#REF!+#REF!+#REF!+#REF!+#REF!+#REF!+#REF!+#REF!+#REF!+#REF!+#REF!+#REF!+#REF!+#REF!+#REF!+#REF!+#REF!+#REF!+#REF!+#REF!+#REF!+#REF!+#REF!+#REF!+#REF!+#REF!+#REF!+'01.10.19'!J63</f>
        <v>#REF!</v>
      </c>
      <c r="K63" s="6" t="e">
        <f>#REF!+#REF!+#REF!+#REF!+#REF!+#REF!+#REF!+#REF!+#REF!+#REF!+#REF!+#REF!+#REF!+#REF!+#REF!+#REF!+#REF!+#REF!+#REF!+#REF!+#REF!+#REF!+#REF!+#REF!+#REF!+#REF!+#REF!+#REF!+#REF!+'01.10.19'!K63</f>
        <v>#REF!</v>
      </c>
      <c r="L63" s="6" t="e">
        <f>#REF!+#REF!+#REF!+#REF!+#REF!+#REF!+#REF!+#REF!+#REF!+#REF!+#REF!+#REF!+#REF!+#REF!+#REF!+#REF!+#REF!+#REF!+#REF!+#REF!+#REF!+#REF!+#REF!+#REF!+#REF!+#REF!+#REF!+#REF!+#REF!+'01.10.19'!L63</f>
        <v>#REF!</v>
      </c>
      <c r="M63" s="6" t="e">
        <f>#REF!+#REF!+#REF!+#REF!+#REF!+#REF!+#REF!+#REF!+#REF!+#REF!+#REF!+#REF!+#REF!+#REF!+#REF!+#REF!+#REF!+#REF!+#REF!+#REF!+#REF!+#REF!+#REF!+#REF!+#REF!+#REF!+#REF!+#REF!+#REF!+'01.10.19'!M63</f>
        <v>#REF!</v>
      </c>
      <c r="N63" s="6" t="e">
        <f>#REF!+#REF!+#REF!+#REF!+#REF!+#REF!+#REF!+#REF!+#REF!+#REF!+#REF!+#REF!+#REF!+#REF!+#REF!+#REF!+#REF!+#REF!+#REF!+#REF!+#REF!+#REF!+#REF!+#REF!+#REF!+#REF!+#REF!+#REF!+#REF!+'01.10.19'!N63</f>
        <v>#REF!</v>
      </c>
      <c r="O63" s="6" t="e">
        <f>#REF!+#REF!+#REF!+#REF!+#REF!+#REF!+#REF!+#REF!+#REF!+#REF!+#REF!+#REF!+#REF!+#REF!+#REF!+#REF!+#REF!+#REF!+#REF!+#REF!+#REF!+#REF!+#REF!+#REF!+#REF!+#REF!+#REF!+#REF!+#REF!+'01.10.19'!O63</f>
        <v>#REF!</v>
      </c>
      <c r="P63" s="6" t="e">
        <f>#REF!+#REF!+#REF!+#REF!+#REF!+#REF!+#REF!+#REF!+#REF!+#REF!+#REF!+#REF!+#REF!+#REF!+#REF!+#REF!+#REF!+#REF!+#REF!+#REF!+#REF!+#REF!+#REF!+#REF!+#REF!+#REF!+#REF!+#REF!+#REF!+'01.10.19'!P63</f>
        <v>#REF!</v>
      </c>
      <c r="Q63" s="7" t="e">
        <f t="shared" si="0"/>
        <v>#REF!</v>
      </c>
      <c r="R63" s="6" t="e">
        <f>#REF!+#REF!+#REF!+#REF!+#REF!+#REF!+#REF!+#REF!+#REF!+#REF!+#REF!+#REF!+#REF!+#REF!+#REF!+#REF!+#REF!+#REF!+#REF!+#REF!+#REF!+#REF!+#REF!+#REF!+#REF!+#REF!+#REF!+#REF!+#REF!+'01.10.19'!R63</f>
        <v>#REF!</v>
      </c>
      <c r="S63" s="6" t="e">
        <f t="shared" si="1"/>
        <v>#REF!</v>
      </c>
      <c r="T63" s="6">
        <v>-1300</v>
      </c>
      <c r="U63" s="6" t="e">
        <f t="shared" si="2"/>
        <v>#REF!</v>
      </c>
      <c r="V63" s="85"/>
      <c r="W63" s="57"/>
      <c r="X63" s="46"/>
      <c r="Y63" s="61"/>
      <c r="Z63" s="66"/>
      <c r="AA63" s="61"/>
      <c r="AB63" s="67"/>
      <c r="AC63" s="61"/>
      <c r="AD63" s="66"/>
      <c r="AE63" s="61"/>
      <c r="AF63" s="52">
        <f t="shared" si="3"/>
        <v>0</v>
      </c>
      <c r="AG63" s="46" t="e">
        <f t="shared" si="4"/>
        <v>#REF!</v>
      </c>
      <c r="AH63" s="51" t="e">
        <f t="shared" si="5"/>
        <v>#REF!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/>
      <c r="D64" s="6" t="e">
        <f>#REF!+#REF!+#REF!+#REF!+#REF!+#REF!+#REF!+#REF!+#REF!+#REF!+#REF!+#REF!+#REF!+#REF!+#REF!+#REF!+#REF!+#REF!+#REF!+#REF!+#REF!+#REF!+#REF!+#REF!+#REF!+#REF!+#REF!+#REF!+#REF!+'01.10.19'!D64</f>
        <v>#REF!</v>
      </c>
      <c r="E64" s="6" t="e">
        <f>#REF!+#REF!+#REF!+#REF!+#REF!+#REF!+#REF!+#REF!+#REF!+#REF!+#REF!+#REF!+#REF!+#REF!+#REF!+#REF!+#REF!+#REF!+#REF!+#REF!+#REF!+#REF!+#REF!+#REF!+#REF!+#REF!+#REF!+#REF!+#REF!+'01.10.19'!E64</f>
        <v>#REF!</v>
      </c>
      <c r="F64" s="6" t="e">
        <f>#REF!+#REF!+#REF!+#REF!+#REF!+#REF!+#REF!+#REF!+#REF!+#REF!+#REF!+#REF!+#REF!+#REF!+#REF!+#REF!+#REF!+#REF!+#REF!+#REF!+#REF!+#REF!+#REF!+#REF!+#REF!+#REF!+#REF!+#REF!+#REF!+'01.10.19'!F64</f>
        <v>#REF!</v>
      </c>
      <c r="G64" s="6" t="e">
        <f>#REF!+#REF!+#REF!+#REF!+#REF!+#REF!+#REF!+#REF!+#REF!+#REF!+#REF!+#REF!+#REF!+#REF!+#REF!+#REF!+#REF!+#REF!+#REF!+#REF!+#REF!+#REF!+#REF!+#REF!+#REF!+#REF!+#REF!+#REF!+#REF!+'01.10.19'!G64</f>
        <v>#REF!</v>
      </c>
      <c r="H64" s="6" t="e">
        <f>#REF!+#REF!+#REF!+#REF!+#REF!+#REF!+#REF!+#REF!+#REF!+#REF!+#REF!+#REF!+#REF!+#REF!+#REF!+#REF!+#REF!+#REF!+#REF!+#REF!+#REF!+#REF!+#REF!+#REF!+#REF!+#REF!+#REF!+#REF!+#REF!+'01.10.19'!H64</f>
        <v>#REF!</v>
      </c>
      <c r="I64" s="6" t="e">
        <f>#REF!+#REF!+#REF!+#REF!+#REF!+#REF!+#REF!+#REF!+#REF!+#REF!+#REF!+#REF!+#REF!+#REF!+#REF!+#REF!+#REF!+#REF!+#REF!+#REF!+#REF!+#REF!+#REF!+#REF!+#REF!+#REF!+#REF!+#REF!+#REF!+'01.10.19'!I64</f>
        <v>#REF!</v>
      </c>
      <c r="J64" s="6" t="e">
        <f>#REF!+#REF!+#REF!+#REF!+#REF!+#REF!+#REF!+#REF!+#REF!+#REF!+#REF!+#REF!+#REF!+#REF!+#REF!+#REF!+#REF!+#REF!+#REF!+#REF!+#REF!+#REF!+#REF!+#REF!+#REF!+#REF!+#REF!+#REF!+#REF!+'01.10.19'!J64</f>
        <v>#REF!</v>
      </c>
      <c r="K64" s="6" t="e">
        <f>#REF!+#REF!+#REF!+#REF!+#REF!+#REF!+#REF!+#REF!+#REF!+#REF!+#REF!+#REF!+#REF!+#REF!+#REF!+#REF!+#REF!+#REF!+#REF!+#REF!+#REF!+#REF!+#REF!+#REF!+#REF!+#REF!+#REF!+#REF!+#REF!+'01.10.19'!K64</f>
        <v>#REF!</v>
      </c>
      <c r="L64" s="6" t="e">
        <f>#REF!+#REF!+#REF!+#REF!+#REF!+#REF!+#REF!+#REF!+#REF!+#REF!+#REF!+#REF!+#REF!+#REF!+#REF!+#REF!+#REF!+#REF!+#REF!+#REF!+#REF!+#REF!+#REF!+#REF!+#REF!+#REF!+#REF!+#REF!+#REF!+'01.10.19'!L64</f>
        <v>#REF!</v>
      </c>
      <c r="M64" s="6" t="e">
        <f>#REF!+#REF!+#REF!+#REF!+#REF!+#REF!+#REF!+#REF!+#REF!+#REF!+#REF!+#REF!+#REF!+#REF!+#REF!+#REF!+#REF!+#REF!+#REF!+#REF!+#REF!+#REF!+#REF!+#REF!+#REF!+#REF!+#REF!+#REF!+#REF!+'01.10.19'!M64</f>
        <v>#REF!</v>
      </c>
      <c r="N64" s="6" t="e">
        <f>#REF!+#REF!+#REF!+#REF!+#REF!+#REF!+#REF!+#REF!+#REF!+#REF!+#REF!+#REF!+#REF!+#REF!+#REF!+#REF!+#REF!+#REF!+#REF!+#REF!+#REF!+#REF!+#REF!+#REF!+#REF!+#REF!+#REF!+#REF!+#REF!+'01.10.19'!N64</f>
        <v>#REF!</v>
      </c>
      <c r="O64" s="6" t="e">
        <f>#REF!+#REF!+#REF!+#REF!+#REF!+#REF!+#REF!+#REF!+#REF!+#REF!+#REF!+#REF!+#REF!+#REF!+#REF!+#REF!+#REF!+#REF!+#REF!+#REF!+#REF!+#REF!+#REF!+#REF!+#REF!+#REF!+#REF!+#REF!+#REF!+'01.10.19'!O64</f>
        <v>#REF!</v>
      </c>
      <c r="P64" s="6" t="e">
        <f>#REF!+#REF!+#REF!+#REF!+#REF!+#REF!+#REF!+#REF!+#REF!+#REF!+#REF!+#REF!+#REF!+#REF!+#REF!+#REF!+#REF!+#REF!+#REF!+#REF!+#REF!+#REF!+#REF!+#REF!+#REF!+#REF!+#REF!+#REF!+#REF!+'01.10.19'!P64</f>
        <v>#REF!</v>
      </c>
      <c r="Q64" s="7" t="e">
        <f t="shared" si="0"/>
        <v>#REF!</v>
      </c>
      <c r="R64" s="6" t="e">
        <f>#REF!+#REF!+#REF!+#REF!+#REF!+#REF!+#REF!+#REF!+#REF!+#REF!+#REF!+#REF!+#REF!+#REF!+#REF!+#REF!+#REF!+#REF!+#REF!+#REF!+#REF!+#REF!+#REF!+#REF!+#REF!+#REF!+#REF!+#REF!+#REF!+'01.10.19'!R64</f>
        <v>#REF!</v>
      </c>
      <c r="S64" s="6" t="e">
        <f t="shared" si="1"/>
        <v>#REF!</v>
      </c>
      <c r="T64" s="6">
        <v>0</v>
      </c>
      <c r="U64" s="6" t="e">
        <f t="shared" si="2"/>
        <v>#REF!</v>
      </c>
      <c r="V64" s="85"/>
      <c r="W64" s="57"/>
      <c r="X64" s="46"/>
      <c r="Y64" s="61"/>
      <c r="Z64" s="66"/>
      <c r="AA64" s="61"/>
      <c r="AB64" s="67"/>
      <c r="AC64" s="61"/>
      <c r="AD64" s="66"/>
      <c r="AE64" s="61"/>
      <c r="AF64" s="52">
        <f t="shared" si="3"/>
        <v>0</v>
      </c>
      <c r="AG64" s="46" t="e">
        <f t="shared" si="4"/>
        <v>#REF!</v>
      </c>
      <c r="AH64" s="51" t="e">
        <f t="shared" si="5"/>
        <v>#REF!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/>
      <c r="D65" s="6" t="e">
        <f>#REF!+#REF!+#REF!+#REF!+#REF!+#REF!+#REF!+#REF!+#REF!+#REF!+#REF!+#REF!+#REF!+#REF!+#REF!+#REF!+#REF!+#REF!+#REF!+#REF!+#REF!+#REF!+#REF!+#REF!+#REF!+#REF!+#REF!+#REF!+#REF!+'01.10.19'!D65</f>
        <v>#REF!</v>
      </c>
      <c r="E65" s="6" t="e">
        <f>#REF!+#REF!+#REF!+#REF!+#REF!+#REF!+#REF!+#REF!+#REF!+#REF!+#REF!+#REF!+#REF!+#REF!+#REF!+#REF!+#REF!+#REF!+#REF!+#REF!+#REF!+#REF!+#REF!+#REF!+#REF!+#REF!+#REF!+#REF!+#REF!+'01.10.19'!E65</f>
        <v>#REF!</v>
      </c>
      <c r="F65" s="6" t="e">
        <f>#REF!+#REF!+#REF!+#REF!+#REF!+#REF!+#REF!+#REF!+#REF!+#REF!+#REF!+#REF!+#REF!+#REF!+#REF!+#REF!+#REF!+#REF!+#REF!+#REF!+#REF!+#REF!+#REF!+#REF!+#REF!+#REF!+#REF!+#REF!+#REF!+'01.10.19'!F65</f>
        <v>#REF!</v>
      </c>
      <c r="G65" s="6" t="e">
        <f>#REF!+#REF!+#REF!+#REF!+#REF!+#REF!+#REF!+#REF!+#REF!+#REF!+#REF!+#REF!+#REF!+#REF!+#REF!+#REF!+#REF!+#REF!+#REF!+#REF!+#REF!+#REF!+#REF!+#REF!+#REF!+#REF!+#REF!+#REF!+#REF!+'01.10.19'!G65</f>
        <v>#REF!</v>
      </c>
      <c r="H65" s="6" t="e">
        <f>#REF!+#REF!+#REF!+#REF!+#REF!+#REF!+#REF!+#REF!+#REF!+#REF!+#REF!+#REF!+#REF!+#REF!+#REF!+#REF!+#REF!+#REF!+#REF!+#REF!+#REF!+#REF!+#REF!+#REF!+#REF!+#REF!+#REF!+#REF!+#REF!+'01.10.19'!H65</f>
        <v>#REF!</v>
      </c>
      <c r="I65" s="6" t="e">
        <f>#REF!+#REF!+#REF!+#REF!+#REF!+#REF!+#REF!+#REF!+#REF!+#REF!+#REF!+#REF!+#REF!+#REF!+#REF!+#REF!+#REF!+#REF!+#REF!+#REF!+#REF!+#REF!+#REF!+#REF!+#REF!+#REF!+#REF!+#REF!+#REF!+'01.10.19'!I65</f>
        <v>#REF!</v>
      </c>
      <c r="J65" s="6" t="e">
        <f>#REF!+#REF!+#REF!+#REF!+#REF!+#REF!+#REF!+#REF!+#REF!+#REF!+#REF!+#REF!+#REF!+#REF!+#REF!+#REF!+#REF!+#REF!+#REF!+#REF!+#REF!+#REF!+#REF!+#REF!+#REF!+#REF!+#REF!+#REF!+#REF!+'01.10.19'!J65</f>
        <v>#REF!</v>
      </c>
      <c r="K65" s="6" t="e">
        <f>#REF!+#REF!+#REF!+#REF!+#REF!+#REF!+#REF!+#REF!+#REF!+#REF!+#REF!+#REF!+#REF!+#REF!+#REF!+#REF!+#REF!+#REF!+#REF!+#REF!+#REF!+#REF!+#REF!+#REF!+#REF!+#REF!+#REF!+#REF!+#REF!+'01.10.19'!K65</f>
        <v>#REF!</v>
      </c>
      <c r="L65" s="6" t="e">
        <f>#REF!+#REF!+#REF!+#REF!+#REF!+#REF!+#REF!+#REF!+#REF!+#REF!+#REF!+#REF!+#REF!+#REF!+#REF!+#REF!+#REF!+#REF!+#REF!+#REF!+#REF!+#REF!+#REF!+#REF!+#REF!+#REF!+#REF!+#REF!+#REF!+'01.10.19'!L65</f>
        <v>#REF!</v>
      </c>
      <c r="M65" s="6" t="e">
        <f>#REF!+#REF!+#REF!+#REF!+#REF!+#REF!+#REF!+#REF!+#REF!+#REF!+#REF!+#REF!+#REF!+#REF!+#REF!+#REF!+#REF!+#REF!+#REF!+#REF!+#REF!+#REF!+#REF!+#REF!+#REF!+#REF!+#REF!+#REF!+#REF!+'01.10.19'!M65</f>
        <v>#REF!</v>
      </c>
      <c r="N65" s="6" t="e">
        <f>#REF!+#REF!+#REF!+#REF!+#REF!+#REF!+#REF!+#REF!+#REF!+#REF!+#REF!+#REF!+#REF!+#REF!+#REF!+#REF!+#REF!+#REF!+#REF!+#REF!+#REF!+#REF!+#REF!+#REF!+#REF!+#REF!+#REF!+#REF!+#REF!+'01.10.19'!N65</f>
        <v>#REF!</v>
      </c>
      <c r="O65" s="6" t="e">
        <f>#REF!+#REF!+#REF!+#REF!+#REF!+#REF!+#REF!+#REF!+#REF!+#REF!+#REF!+#REF!+#REF!+#REF!+#REF!+#REF!+#REF!+#REF!+#REF!+#REF!+#REF!+#REF!+#REF!+#REF!+#REF!+#REF!+#REF!+#REF!+#REF!+'01.10.19'!O65</f>
        <v>#REF!</v>
      </c>
      <c r="P65" s="6" t="e">
        <f>#REF!+#REF!+#REF!+#REF!+#REF!+#REF!+#REF!+#REF!+#REF!+#REF!+#REF!+#REF!+#REF!+#REF!+#REF!+#REF!+#REF!+#REF!+#REF!+#REF!+#REF!+#REF!+#REF!+#REF!+#REF!+#REF!+#REF!+#REF!+#REF!+'01.10.19'!P65</f>
        <v>#REF!</v>
      </c>
      <c r="Q65" s="7" t="e">
        <f t="shared" si="0"/>
        <v>#REF!</v>
      </c>
      <c r="R65" s="6" t="e">
        <f>#REF!+#REF!+#REF!+#REF!+#REF!+#REF!+#REF!+#REF!+#REF!+#REF!+#REF!+#REF!+#REF!+#REF!+#REF!+#REF!+#REF!+#REF!+#REF!+#REF!+#REF!+#REF!+#REF!+#REF!+#REF!+#REF!+#REF!+#REF!+#REF!+'01.10.19'!R65</f>
        <v>#REF!</v>
      </c>
      <c r="S65" s="6" t="e">
        <f t="shared" si="1"/>
        <v>#REF!</v>
      </c>
      <c r="T65" s="6">
        <v>-700</v>
      </c>
      <c r="U65" s="6" t="e">
        <f t="shared" si="2"/>
        <v>#REF!</v>
      </c>
      <c r="V65" s="85"/>
      <c r="W65" s="57"/>
      <c r="X65" s="46"/>
      <c r="Y65" s="61"/>
      <c r="Z65" s="66"/>
      <c r="AA65" s="61"/>
      <c r="AB65" s="67"/>
      <c r="AC65" s="61"/>
      <c r="AD65" s="66"/>
      <c r="AE65" s="61"/>
      <c r="AF65" s="52">
        <f t="shared" si="3"/>
        <v>0</v>
      </c>
      <c r="AG65" s="46" t="e">
        <f t="shared" si="4"/>
        <v>#REF!</v>
      </c>
      <c r="AH65" s="51" t="e">
        <f t="shared" si="5"/>
        <v>#REF!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84"/>
      <c r="B66" s="19" t="s">
        <v>65</v>
      </c>
      <c r="C66" s="32"/>
      <c r="D66" s="6" t="e">
        <f>#REF!+#REF!+#REF!+#REF!+#REF!+#REF!+#REF!+#REF!+#REF!+#REF!+#REF!+#REF!+#REF!+#REF!+#REF!+#REF!+#REF!+#REF!+#REF!+#REF!+#REF!+#REF!+#REF!+#REF!+#REF!+#REF!+#REF!+#REF!+#REF!+'01.10.19'!D66</f>
        <v>#REF!</v>
      </c>
      <c r="E66" s="6" t="e">
        <f>#REF!+#REF!+#REF!+#REF!+#REF!+#REF!+#REF!+#REF!+#REF!+#REF!+#REF!+#REF!+#REF!+#REF!+#REF!+#REF!+#REF!+#REF!+#REF!+#REF!+#REF!+#REF!+#REF!+#REF!+#REF!+#REF!+#REF!+#REF!+#REF!+'01.10.19'!E66</f>
        <v>#REF!</v>
      </c>
      <c r="F66" s="6" t="e">
        <f>#REF!+#REF!+#REF!+#REF!+#REF!+#REF!+#REF!+#REF!+#REF!+#REF!+#REF!+#REF!+#REF!+#REF!+#REF!+#REF!+#REF!+#REF!+#REF!+#REF!+#REF!+#REF!+#REF!+#REF!+#REF!+#REF!+#REF!+#REF!+#REF!+'01.10.19'!F66</f>
        <v>#REF!</v>
      </c>
      <c r="G66" s="6" t="e">
        <f>#REF!+#REF!+#REF!+#REF!+#REF!+#REF!+#REF!+#REF!+#REF!+#REF!+#REF!+#REF!+#REF!+#REF!+#REF!+#REF!+#REF!+#REF!+#REF!+#REF!+#REF!+#REF!+#REF!+#REF!+#REF!+#REF!+#REF!+#REF!+#REF!+'01.10.19'!G66</f>
        <v>#REF!</v>
      </c>
      <c r="H66" s="6" t="e">
        <f>#REF!+#REF!+#REF!+#REF!+#REF!+#REF!+#REF!+#REF!+#REF!+#REF!+#REF!+#REF!+#REF!+#REF!+#REF!+#REF!+#REF!+#REF!+#REF!+#REF!+#REF!+#REF!+#REF!+#REF!+#REF!+#REF!+#REF!+#REF!+#REF!+'01.10.19'!H66</f>
        <v>#REF!</v>
      </c>
      <c r="I66" s="6" t="e">
        <f>#REF!+#REF!+#REF!+#REF!+#REF!+#REF!+#REF!+#REF!+#REF!+#REF!+#REF!+#REF!+#REF!+#REF!+#REF!+#REF!+#REF!+#REF!+#REF!+#REF!+#REF!+#REF!+#REF!+#REF!+#REF!+#REF!+#REF!+#REF!+#REF!+'01.10.19'!I66</f>
        <v>#REF!</v>
      </c>
      <c r="J66" s="6" t="e">
        <f>#REF!+#REF!+#REF!+#REF!+#REF!+#REF!+#REF!+#REF!+#REF!+#REF!+#REF!+#REF!+#REF!+#REF!+#REF!+#REF!+#REF!+#REF!+#REF!+#REF!+#REF!+#REF!+#REF!+#REF!+#REF!+#REF!+#REF!+#REF!+#REF!+'01.10.19'!J66</f>
        <v>#REF!</v>
      </c>
      <c r="K66" s="6" t="e">
        <f>#REF!+#REF!+#REF!+#REF!+#REF!+#REF!+#REF!+#REF!+#REF!+#REF!+#REF!+#REF!+#REF!+#REF!+#REF!+#REF!+#REF!+#REF!+#REF!+#REF!+#REF!+#REF!+#REF!+#REF!+#REF!+#REF!+#REF!+#REF!+#REF!+'01.10.19'!K66</f>
        <v>#REF!</v>
      </c>
      <c r="L66" s="6" t="e">
        <f>#REF!+#REF!+#REF!+#REF!+#REF!+#REF!+#REF!+#REF!+#REF!+#REF!+#REF!+#REF!+#REF!+#REF!+#REF!+#REF!+#REF!+#REF!+#REF!+#REF!+#REF!+#REF!+#REF!+#REF!+#REF!+#REF!+#REF!+#REF!+#REF!+'01.10.19'!L66</f>
        <v>#REF!</v>
      </c>
      <c r="M66" s="6" t="e">
        <f>#REF!+#REF!+#REF!+#REF!+#REF!+#REF!+#REF!+#REF!+#REF!+#REF!+#REF!+#REF!+#REF!+#REF!+#REF!+#REF!+#REF!+#REF!+#REF!+#REF!+#REF!+#REF!+#REF!+#REF!+#REF!+#REF!+#REF!+#REF!+#REF!+'01.10.19'!M66</f>
        <v>#REF!</v>
      </c>
      <c r="N66" s="6" t="e">
        <f>#REF!+#REF!+#REF!+#REF!+#REF!+#REF!+#REF!+#REF!+#REF!+#REF!+#REF!+#REF!+#REF!+#REF!+#REF!+#REF!+#REF!+#REF!+#REF!+#REF!+#REF!+#REF!+#REF!+#REF!+#REF!+#REF!+#REF!+#REF!+#REF!+'01.10.19'!N66</f>
        <v>#REF!</v>
      </c>
      <c r="O66" s="6" t="e">
        <f>#REF!+#REF!+#REF!+#REF!+#REF!+#REF!+#REF!+#REF!+#REF!+#REF!+#REF!+#REF!+#REF!+#REF!+#REF!+#REF!+#REF!+#REF!+#REF!+#REF!+#REF!+#REF!+#REF!+#REF!+#REF!+#REF!+#REF!+#REF!+#REF!+'01.10.19'!O66</f>
        <v>#REF!</v>
      </c>
      <c r="P66" s="6" t="e">
        <f>#REF!+#REF!+#REF!+#REF!+#REF!+#REF!+#REF!+#REF!+#REF!+#REF!+#REF!+#REF!+#REF!+#REF!+#REF!+#REF!+#REF!+#REF!+#REF!+#REF!+#REF!+#REF!+#REF!+#REF!+#REF!+#REF!+#REF!+#REF!+#REF!+'01.10.19'!P66</f>
        <v>#REF!</v>
      </c>
      <c r="Q66" s="18"/>
      <c r="R66" s="6" t="e">
        <f>#REF!+#REF!+#REF!+#REF!+#REF!+#REF!+#REF!+#REF!+#REF!+#REF!+#REF!+#REF!+#REF!+#REF!+#REF!+#REF!+#REF!+#REF!+#REF!+#REF!+#REF!+#REF!+#REF!+#REF!+#REF!+#REF!+#REF!+#REF!+#REF!+'01.10.19'!R66</f>
        <v>#REF!</v>
      </c>
      <c r="S66" s="17"/>
      <c r="T66" s="17">
        <v>0</v>
      </c>
      <c r="U66" s="17"/>
      <c r="V66" s="18"/>
      <c r="W66" s="57"/>
      <c r="X66" s="46"/>
      <c r="Y66" s="61"/>
      <c r="Z66" s="66"/>
      <c r="AA66" s="61"/>
      <c r="AB66" s="67"/>
      <c r="AC66" s="61"/>
      <c r="AD66" s="66"/>
      <c r="AE66" s="61"/>
      <c r="AF66" s="52">
        <f t="shared" si="3"/>
        <v>0</v>
      </c>
      <c r="AG66" s="46">
        <f t="shared" si="4"/>
        <v>0</v>
      </c>
      <c r="AH66" s="51">
        <f t="shared" si="5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/>
      <c r="D67" s="6" t="e">
        <f>#REF!+#REF!+#REF!+#REF!+#REF!+#REF!+#REF!+#REF!+#REF!+#REF!+#REF!+#REF!+#REF!+#REF!+#REF!+#REF!+#REF!+#REF!+#REF!+#REF!+#REF!+#REF!+#REF!+#REF!+#REF!+#REF!+#REF!+#REF!+#REF!+'01.10.19'!D67</f>
        <v>#REF!</v>
      </c>
      <c r="E67" s="6" t="e">
        <f>#REF!+#REF!+#REF!+#REF!+#REF!+#REF!+#REF!+#REF!+#REF!+#REF!+#REF!+#REF!+#REF!+#REF!+#REF!+#REF!+#REF!+#REF!+#REF!+#REF!+#REF!+#REF!+#REF!+#REF!+#REF!+#REF!+#REF!+#REF!+#REF!+'01.10.19'!E67</f>
        <v>#REF!</v>
      </c>
      <c r="F67" s="6" t="e">
        <f>#REF!+#REF!+#REF!+#REF!+#REF!+#REF!+#REF!+#REF!+#REF!+#REF!+#REF!+#REF!+#REF!+#REF!+#REF!+#REF!+#REF!+#REF!+#REF!+#REF!+#REF!+#REF!+#REF!+#REF!+#REF!+#REF!+#REF!+#REF!+#REF!+'01.10.19'!F67</f>
        <v>#REF!</v>
      </c>
      <c r="G67" s="6" t="e">
        <f>#REF!+#REF!+#REF!+#REF!+#REF!+#REF!+#REF!+#REF!+#REF!+#REF!+#REF!+#REF!+#REF!+#REF!+#REF!+#REF!+#REF!+#REF!+#REF!+#REF!+#REF!+#REF!+#REF!+#REF!+#REF!+#REF!+#REF!+#REF!+#REF!+'01.10.19'!G67</f>
        <v>#REF!</v>
      </c>
      <c r="H67" s="6" t="e">
        <f>#REF!+#REF!+#REF!+#REF!+#REF!+#REF!+#REF!+#REF!+#REF!+#REF!+#REF!+#REF!+#REF!+#REF!+#REF!+#REF!+#REF!+#REF!+#REF!+#REF!+#REF!+#REF!+#REF!+#REF!+#REF!+#REF!+#REF!+#REF!+#REF!+'01.10.19'!H67</f>
        <v>#REF!</v>
      </c>
      <c r="I67" s="6" t="e">
        <f>#REF!+#REF!+#REF!+#REF!+#REF!+#REF!+#REF!+#REF!+#REF!+#REF!+#REF!+#REF!+#REF!+#REF!+#REF!+#REF!+#REF!+#REF!+#REF!+#REF!+#REF!+#REF!+#REF!+#REF!+#REF!+#REF!+#REF!+#REF!+#REF!+'01.10.19'!I67</f>
        <v>#REF!</v>
      </c>
      <c r="J67" s="6" t="e">
        <f>#REF!+#REF!+#REF!+#REF!+#REF!+#REF!+#REF!+#REF!+#REF!+#REF!+#REF!+#REF!+#REF!+#REF!+#REF!+#REF!+#REF!+#REF!+#REF!+#REF!+#REF!+#REF!+#REF!+#REF!+#REF!+#REF!+#REF!+#REF!+#REF!+'01.10.19'!J67</f>
        <v>#REF!</v>
      </c>
      <c r="K67" s="6" t="e">
        <f>#REF!+#REF!+#REF!+#REF!+#REF!+#REF!+#REF!+#REF!+#REF!+#REF!+#REF!+#REF!+#REF!+#REF!+#REF!+#REF!+#REF!+#REF!+#REF!+#REF!+#REF!+#REF!+#REF!+#REF!+#REF!+#REF!+#REF!+#REF!+#REF!+'01.10.19'!K67</f>
        <v>#REF!</v>
      </c>
      <c r="L67" s="6" t="e">
        <f>#REF!+#REF!+#REF!+#REF!+#REF!+#REF!+#REF!+#REF!+#REF!+#REF!+#REF!+#REF!+#REF!+#REF!+#REF!+#REF!+#REF!+#REF!+#REF!+#REF!+#REF!+#REF!+#REF!+#REF!+#REF!+#REF!+#REF!+#REF!+#REF!+'01.10.19'!L67</f>
        <v>#REF!</v>
      </c>
      <c r="M67" s="6" t="e">
        <f>#REF!+#REF!+#REF!+#REF!+#REF!+#REF!+#REF!+#REF!+#REF!+#REF!+#REF!+#REF!+#REF!+#REF!+#REF!+#REF!+#REF!+#REF!+#REF!+#REF!+#REF!+#REF!+#REF!+#REF!+#REF!+#REF!+#REF!+#REF!+#REF!+'01.10.19'!M67</f>
        <v>#REF!</v>
      </c>
      <c r="N67" s="6" t="e">
        <f>#REF!+#REF!+#REF!+#REF!+#REF!+#REF!+#REF!+#REF!+#REF!+#REF!+#REF!+#REF!+#REF!+#REF!+#REF!+#REF!+#REF!+#REF!+#REF!+#REF!+#REF!+#REF!+#REF!+#REF!+#REF!+#REF!+#REF!+#REF!+#REF!+'01.10.19'!N67</f>
        <v>#REF!</v>
      </c>
      <c r="O67" s="6" t="e">
        <f>#REF!+#REF!+#REF!+#REF!+#REF!+#REF!+#REF!+#REF!+#REF!+#REF!+#REF!+#REF!+#REF!+#REF!+#REF!+#REF!+#REF!+#REF!+#REF!+#REF!+#REF!+#REF!+#REF!+#REF!+#REF!+#REF!+#REF!+#REF!+#REF!+'01.10.19'!O67</f>
        <v>#REF!</v>
      </c>
      <c r="P67" s="6" t="e">
        <f>#REF!+#REF!+#REF!+#REF!+#REF!+#REF!+#REF!+#REF!+#REF!+#REF!+#REF!+#REF!+#REF!+#REF!+#REF!+#REF!+#REF!+#REF!+#REF!+#REF!+#REF!+#REF!+#REF!+#REF!+#REF!+#REF!+#REF!+#REF!+#REF!+'01.10.19'!P67</f>
        <v>#REF!</v>
      </c>
      <c r="Q67" s="7" t="e">
        <f t="shared" si="0"/>
        <v>#REF!</v>
      </c>
      <c r="R67" s="6" t="e">
        <f>#REF!+#REF!+#REF!+#REF!+#REF!+#REF!+#REF!+#REF!+#REF!+#REF!+#REF!+#REF!+#REF!+#REF!+#REF!+#REF!+#REF!+#REF!+#REF!+#REF!+#REF!+#REF!+#REF!+#REF!+#REF!+#REF!+#REF!+#REF!+#REF!+'01.10.19'!R67</f>
        <v>#REF!</v>
      </c>
      <c r="S67" s="6" t="e">
        <f t="shared" si="1"/>
        <v>#REF!</v>
      </c>
      <c r="T67" s="6">
        <f>-1100-450</f>
        <v>-1550</v>
      </c>
      <c r="U67" s="6" t="e">
        <f t="shared" si="2"/>
        <v>#REF!</v>
      </c>
      <c r="V67" s="86"/>
      <c r="W67" s="57"/>
      <c r="X67" s="46"/>
      <c r="Y67" s="61"/>
      <c r="Z67" s="66"/>
      <c r="AA67" s="61"/>
      <c r="AB67" s="67"/>
      <c r="AC67" s="61"/>
      <c r="AD67" s="66"/>
      <c r="AE67" s="61"/>
      <c r="AF67" s="52">
        <f t="shared" si="3"/>
        <v>0</v>
      </c>
      <c r="AG67" s="46" t="e">
        <f t="shared" si="4"/>
        <v>#REF!</v>
      </c>
      <c r="AH67" s="51" t="e">
        <f t="shared" si="5"/>
        <v>#REF!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/>
      <c r="D68" s="6" t="e">
        <f>#REF!+#REF!+#REF!+#REF!+#REF!+#REF!+#REF!+#REF!+#REF!+#REF!+#REF!+#REF!+#REF!+#REF!+#REF!+#REF!+#REF!+#REF!+#REF!+#REF!+#REF!+#REF!+#REF!+#REF!+#REF!+#REF!+#REF!+#REF!+#REF!+'01.10.19'!D68</f>
        <v>#REF!</v>
      </c>
      <c r="E68" s="6" t="e">
        <f>#REF!+#REF!+#REF!+#REF!+#REF!+#REF!+#REF!+#REF!+#REF!+#REF!+#REF!+#REF!+#REF!+#REF!+#REF!+#REF!+#REF!+#REF!+#REF!+#REF!+#REF!+#REF!+#REF!+#REF!+#REF!+#REF!+#REF!+#REF!+#REF!+'01.10.19'!E68</f>
        <v>#REF!</v>
      </c>
      <c r="F68" s="6" t="e">
        <f>#REF!+#REF!+#REF!+#REF!+#REF!+#REF!+#REF!+#REF!+#REF!+#REF!+#REF!+#REF!+#REF!+#REF!+#REF!+#REF!+#REF!+#REF!+#REF!+#REF!+#REF!+#REF!+#REF!+#REF!+#REF!+#REF!+#REF!+#REF!+#REF!+'01.10.19'!F68</f>
        <v>#REF!</v>
      </c>
      <c r="G68" s="6" t="e">
        <f>#REF!+#REF!+#REF!+#REF!+#REF!+#REF!+#REF!+#REF!+#REF!+#REF!+#REF!+#REF!+#REF!+#REF!+#REF!+#REF!+#REF!+#REF!+#REF!+#REF!+#REF!+#REF!+#REF!+#REF!+#REF!+#REF!+#REF!+#REF!+#REF!+'01.10.19'!G68</f>
        <v>#REF!</v>
      </c>
      <c r="H68" s="6" t="e">
        <f>#REF!+#REF!+#REF!+#REF!+#REF!+#REF!+#REF!+#REF!+#REF!+#REF!+#REF!+#REF!+#REF!+#REF!+#REF!+#REF!+#REF!+#REF!+#REF!+#REF!+#REF!+#REF!+#REF!+#REF!+#REF!+#REF!+#REF!+#REF!+#REF!+'01.10.19'!H68</f>
        <v>#REF!</v>
      </c>
      <c r="I68" s="6" t="e">
        <f>#REF!+#REF!+#REF!+#REF!+#REF!+#REF!+#REF!+#REF!+#REF!+#REF!+#REF!+#REF!+#REF!+#REF!+#REF!+#REF!+#REF!+#REF!+#REF!+#REF!+#REF!+#REF!+#REF!+#REF!+#REF!+#REF!+#REF!+#REF!+#REF!+'01.10.19'!I68</f>
        <v>#REF!</v>
      </c>
      <c r="J68" s="6" t="e">
        <f>#REF!+#REF!+#REF!+#REF!+#REF!+#REF!+#REF!+#REF!+#REF!+#REF!+#REF!+#REF!+#REF!+#REF!+#REF!+#REF!+#REF!+#REF!+#REF!+#REF!+#REF!+#REF!+#REF!+#REF!+#REF!+#REF!+#REF!+#REF!+#REF!+'01.10.19'!J68</f>
        <v>#REF!</v>
      </c>
      <c r="K68" s="6" t="e">
        <f>#REF!+#REF!+#REF!+#REF!+#REF!+#REF!+#REF!+#REF!+#REF!+#REF!+#REF!+#REF!+#REF!+#REF!+#REF!+#REF!+#REF!+#REF!+#REF!+#REF!+#REF!+#REF!+#REF!+#REF!+#REF!+#REF!+#REF!+#REF!+#REF!+'01.10.19'!K68</f>
        <v>#REF!</v>
      </c>
      <c r="L68" s="6" t="e">
        <f>#REF!+#REF!+#REF!+#REF!+#REF!+#REF!+#REF!+#REF!+#REF!+#REF!+#REF!+#REF!+#REF!+#REF!+#REF!+#REF!+#REF!+#REF!+#REF!+#REF!+#REF!+#REF!+#REF!+#REF!+#REF!+#REF!+#REF!+#REF!+#REF!+'01.10.19'!L68</f>
        <v>#REF!</v>
      </c>
      <c r="M68" s="6" t="e">
        <f>#REF!+#REF!+#REF!+#REF!+#REF!+#REF!+#REF!+#REF!+#REF!+#REF!+#REF!+#REF!+#REF!+#REF!+#REF!+#REF!+#REF!+#REF!+#REF!+#REF!+#REF!+#REF!+#REF!+#REF!+#REF!+#REF!+#REF!+#REF!+#REF!+'01.10.19'!M68</f>
        <v>#REF!</v>
      </c>
      <c r="N68" s="6" t="e">
        <f>#REF!+#REF!+#REF!+#REF!+#REF!+#REF!+#REF!+#REF!+#REF!+#REF!+#REF!+#REF!+#REF!+#REF!+#REF!+#REF!+#REF!+#REF!+#REF!+#REF!+#REF!+#REF!+#REF!+#REF!+#REF!+#REF!+#REF!+#REF!+#REF!+'01.10.19'!N68</f>
        <v>#REF!</v>
      </c>
      <c r="O68" s="6" t="e">
        <f>#REF!+#REF!+#REF!+#REF!+#REF!+#REF!+#REF!+#REF!+#REF!+#REF!+#REF!+#REF!+#REF!+#REF!+#REF!+#REF!+#REF!+#REF!+#REF!+#REF!+#REF!+#REF!+#REF!+#REF!+#REF!+#REF!+#REF!+#REF!+#REF!+'01.10.19'!O68</f>
        <v>#REF!</v>
      </c>
      <c r="P68" s="6" t="e">
        <f>#REF!+#REF!+#REF!+#REF!+#REF!+#REF!+#REF!+#REF!+#REF!+#REF!+#REF!+#REF!+#REF!+#REF!+#REF!+#REF!+#REF!+#REF!+#REF!+#REF!+#REF!+#REF!+#REF!+#REF!+#REF!+#REF!+#REF!+#REF!+#REF!+'01.10.19'!P68</f>
        <v>#REF!</v>
      </c>
      <c r="Q68" s="7" t="e">
        <f t="shared" si="0"/>
        <v>#REF!</v>
      </c>
      <c r="R68" s="6" t="e">
        <f>#REF!+#REF!+#REF!+#REF!+#REF!+#REF!+#REF!+#REF!+#REF!+#REF!+#REF!+#REF!+#REF!+#REF!+#REF!+#REF!+#REF!+#REF!+#REF!+#REF!+#REF!+#REF!+#REF!+#REF!+#REF!+#REF!+#REF!+#REF!+#REF!+'01.10.19'!R68</f>
        <v>#REF!</v>
      </c>
      <c r="S68" s="6" t="e">
        <f t="shared" si="1"/>
        <v>#REF!</v>
      </c>
      <c r="T68" s="6">
        <v>0</v>
      </c>
      <c r="U68" s="6" t="e">
        <f t="shared" si="2"/>
        <v>#REF!</v>
      </c>
      <c r="V68" s="86"/>
      <c r="W68" s="57"/>
      <c r="X68" s="46"/>
      <c r="Y68" s="61"/>
      <c r="Z68" s="47"/>
      <c r="AA68" s="61"/>
      <c r="AB68" s="67"/>
      <c r="AC68" s="61"/>
      <c r="AD68" s="66"/>
      <c r="AE68" s="61"/>
      <c r="AF68" s="52">
        <f t="shared" si="3"/>
        <v>0</v>
      </c>
      <c r="AG68" s="46" t="e">
        <f t="shared" si="4"/>
        <v>#REF!</v>
      </c>
      <c r="AH68" s="51" t="e">
        <f t="shared" si="5"/>
        <v>#REF!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/>
      <c r="D69" s="6" t="e">
        <f>#REF!+#REF!+#REF!+#REF!+#REF!+#REF!+#REF!+#REF!+#REF!+#REF!+#REF!+#REF!+#REF!+#REF!+#REF!+#REF!+#REF!+#REF!+#REF!+#REF!+#REF!+#REF!+#REF!+#REF!+#REF!+#REF!+#REF!+#REF!+#REF!+'01.10.19'!D69</f>
        <v>#REF!</v>
      </c>
      <c r="E69" s="6" t="e">
        <f>#REF!+#REF!+#REF!+#REF!+#REF!+#REF!+#REF!+#REF!+#REF!+#REF!+#REF!+#REF!+#REF!+#REF!+#REF!+#REF!+#REF!+#REF!+#REF!+#REF!+#REF!+#REF!+#REF!+#REF!+#REF!+#REF!+#REF!+#REF!+#REF!+'01.10.19'!E69</f>
        <v>#REF!</v>
      </c>
      <c r="F69" s="6" t="e">
        <f>#REF!+#REF!+#REF!+#REF!+#REF!+#REF!+#REF!+#REF!+#REF!+#REF!+#REF!+#REF!+#REF!+#REF!+#REF!+#REF!+#REF!+#REF!+#REF!+#REF!+#REF!+#REF!+#REF!+#REF!+#REF!+#REF!+#REF!+#REF!+#REF!+'01.10.19'!F69</f>
        <v>#REF!</v>
      </c>
      <c r="G69" s="6" t="e">
        <f>#REF!+#REF!+#REF!+#REF!+#REF!+#REF!+#REF!+#REF!+#REF!+#REF!+#REF!+#REF!+#REF!+#REF!+#REF!+#REF!+#REF!+#REF!+#REF!+#REF!+#REF!+#REF!+#REF!+#REF!+#REF!+#REF!+#REF!+#REF!+#REF!+'01.10.19'!G69</f>
        <v>#REF!</v>
      </c>
      <c r="H69" s="6" t="e">
        <f>#REF!+#REF!+#REF!+#REF!+#REF!+#REF!+#REF!+#REF!+#REF!+#REF!+#REF!+#REF!+#REF!+#REF!+#REF!+#REF!+#REF!+#REF!+#REF!+#REF!+#REF!+#REF!+#REF!+#REF!+#REF!+#REF!+#REF!+#REF!+#REF!+'01.10.19'!H69</f>
        <v>#REF!</v>
      </c>
      <c r="I69" s="6" t="e">
        <f>#REF!+#REF!+#REF!+#REF!+#REF!+#REF!+#REF!+#REF!+#REF!+#REF!+#REF!+#REF!+#REF!+#REF!+#REF!+#REF!+#REF!+#REF!+#REF!+#REF!+#REF!+#REF!+#REF!+#REF!+#REF!+#REF!+#REF!+#REF!+#REF!+'01.10.19'!I69</f>
        <v>#REF!</v>
      </c>
      <c r="J69" s="6" t="e">
        <f>#REF!+#REF!+#REF!+#REF!+#REF!+#REF!+#REF!+#REF!+#REF!+#REF!+#REF!+#REF!+#REF!+#REF!+#REF!+#REF!+#REF!+#REF!+#REF!+#REF!+#REF!+#REF!+#REF!+#REF!+#REF!+#REF!+#REF!+#REF!+#REF!+'01.10.19'!J69</f>
        <v>#REF!</v>
      </c>
      <c r="K69" s="6" t="e">
        <f>#REF!+#REF!+#REF!+#REF!+#REF!+#REF!+#REF!+#REF!+#REF!+#REF!+#REF!+#REF!+#REF!+#REF!+#REF!+#REF!+#REF!+#REF!+#REF!+#REF!+#REF!+#REF!+#REF!+#REF!+#REF!+#REF!+#REF!+#REF!+#REF!+'01.10.19'!K69</f>
        <v>#REF!</v>
      </c>
      <c r="L69" s="6" t="e">
        <f>#REF!+#REF!+#REF!+#REF!+#REF!+#REF!+#REF!+#REF!+#REF!+#REF!+#REF!+#REF!+#REF!+#REF!+#REF!+#REF!+#REF!+#REF!+#REF!+#REF!+#REF!+#REF!+#REF!+#REF!+#REF!+#REF!+#REF!+#REF!+#REF!+'01.10.19'!L69</f>
        <v>#REF!</v>
      </c>
      <c r="M69" s="6" t="e">
        <f>#REF!+#REF!+#REF!+#REF!+#REF!+#REF!+#REF!+#REF!+#REF!+#REF!+#REF!+#REF!+#REF!+#REF!+#REF!+#REF!+#REF!+#REF!+#REF!+#REF!+#REF!+#REF!+#REF!+#REF!+#REF!+#REF!+#REF!+#REF!+#REF!+'01.10.19'!M69</f>
        <v>#REF!</v>
      </c>
      <c r="N69" s="6" t="e">
        <f>#REF!+#REF!+#REF!+#REF!+#REF!+#REF!+#REF!+#REF!+#REF!+#REF!+#REF!+#REF!+#REF!+#REF!+#REF!+#REF!+#REF!+#REF!+#REF!+#REF!+#REF!+#REF!+#REF!+#REF!+#REF!+#REF!+#REF!+#REF!+#REF!+'01.10.19'!N69</f>
        <v>#REF!</v>
      </c>
      <c r="O69" s="6" t="e">
        <f>#REF!+#REF!+#REF!+#REF!+#REF!+#REF!+#REF!+#REF!+#REF!+#REF!+#REF!+#REF!+#REF!+#REF!+#REF!+#REF!+#REF!+#REF!+#REF!+#REF!+#REF!+#REF!+#REF!+#REF!+#REF!+#REF!+#REF!+#REF!+#REF!+'01.10.19'!O69</f>
        <v>#REF!</v>
      </c>
      <c r="P69" s="6" t="e">
        <f>#REF!+#REF!+#REF!+#REF!+#REF!+#REF!+#REF!+#REF!+#REF!+#REF!+#REF!+#REF!+#REF!+#REF!+#REF!+#REF!+#REF!+#REF!+#REF!+#REF!+#REF!+#REF!+#REF!+#REF!+#REF!+#REF!+#REF!+#REF!+#REF!+'01.10.19'!P69</f>
        <v>#REF!</v>
      </c>
      <c r="Q69" s="7" t="e">
        <f t="shared" si="0"/>
        <v>#REF!</v>
      </c>
      <c r="R69" s="6" t="e">
        <f>#REF!+#REF!+#REF!+#REF!+#REF!+#REF!+#REF!+#REF!+#REF!+#REF!+#REF!+#REF!+#REF!+#REF!+#REF!+#REF!+#REF!+#REF!+#REF!+#REF!+#REF!+#REF!+#REF!+#REF!+#REF!+#REF!+#REF!+#REF!+#REF!+'01.10.19'!R69</f>
        <v>#REF!</v>
      </c>
      <c r="S69" s="6" t="e">
        <f t="shared" si="1"/>
        <v>#REF!</v>
      </c>
      <c r="T69" s="6">
        <f>-17250+100-4000</f>
        <v>-21150</v>
      </c>
      <c r="U69" s="6" t="e">
        <f t="shared" si="2"/>
        <v>#REF!</v>
      </c>
      <c r="V69" s="86">
        <v>25</v>
      </c>
      <c r="W69" s="57"/>
      <c r="X69" s="46"/>
      <c r="Y69" s="61"/>
      <c r="Z69" s="47"/>
      <c r="AA69" s="61"/>
      <c r="AB69" s="64"/>
      <c r="AC69" s="61"/>
      <c r="AD69" s="66"/>
      <c r="AE69" s="61"/>
      <c r="AF69" s="52">
        <f t="shared" si="3"/>
        <v>0</v>
      </c>
      <c r="AG69" s="46" t="e">
        <f t="shared" si="4"/>
        <v>#REF!</v>
      </c>
      <c r="AH69" s="51" t="e">
        <f t="shared" si="5"/>
        <v>#REF!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/>
      <c r="D70" s="6" t="e">
        <f>#REF!+#REF!+#REF!+#REF!+#REF!+#REF!+#REF!+#REF!+#REF!+#REF!+#REF!+#REF!+#REF!+#REF!+#REF!+#REF!+#REF!+#REF!+#REF!+#REF!+#REF!+#REF!+#REF!+#REF!+#REF!+#REF!+#REF!+#REF!+#REF!+'01.10.19'!D70</f>
        <v>#REF!</v>
      </c>
      <c r="E70" s="6" t="e">
        <f>#REF!+#REF!+#REF!+#REF!+#REF!+#REF!+#REF!+#REF!+#REF!+#REF!+#REF!+#REF!+#REF!+#REF!+#REF!+#REF!+#REF!+#REF!+#REF!+#REF!+#REF!+#REF!+#REF!+#REF!+#REF!+#REF!+#REF!+#REF!+#REF!+'01.10.19'!E70</f>
        <v>#REF!</v>
      </c>
      <c r="F70" s="6" t="e">
        <f>#REF!+#REF!+#REF!+#REF!+#REF!+#REF!+#REF!+#REF!+#REF!+#REF!+#REF!+#REF!+#REF!+#REF!+#REF!+#REF!+#REF!+#REF!+#REF!+#REF!+#REF!+#REF!+#REF!+#REF!+#REF!+#REF!+#REF!+#REF!+#REF!+'01.10.19'!F70</f>
        <v>#REF!</v>
      </c>
      <c r="G70" s="6" t="e">
        <f>#REF!+#REF!+#REF!+#REF!+#REF!+#REF!+#REF!+#REF!+#REF!+#REF!+#REF!+#REF!+#REF!+#REF!+#REF!+#REF!+#REF!+#REF!+#REF!+#REF!+#REF!+#REF!+#REF!+#REF!+#REF!+#REF!+#REF!+#REF!+#REF!+'01.10.19'!G70</f>
        <v>#REF!</v>
      </c>
      <c r="H70" s="6" t="e">
        <f>#REF!+#REF!+#REF!+#REF!+#REF!+#REF!+#REF!+#REF!+#REF!+#REF!+#REF!+#REF!+#REF!+#REF!+#REF!+#REF!+#REF!+#REF!+#REF!+#REF!+#REF!+#REF!+#REF!+#REF!+#REF!+#REF!+#REF!+#REF!+#REF!+'01.10.19'!H70</f>
        <v>#REF!</v>
      </c>
      <c r="I70" s="6" t="e">
        <f>#REF!+#REF!+#REF!+#REF!+#REF!+#REF!+#REF!+#REF!+#REF!+#REF!+#REF!+#REF!+#REF!+#REF!+#REF!+#REF!+#REF!+#REF!+#REF!+#REF!+#REF!+#REF!+#REF!+#REF!+#REF!+#REF!+#REF!+#REF!+#REF!+'01.10.19'!I70</f>
        <v>#REF!</v>
      </c>
      <c r="J70" s="6" t="e">
        <f>#REF!+#REF!+#REF!+#REF!+#REF!+#REF!+#REF!+#REF!+#REF!+#REF!+#REF!+#REF!+#REF!+#REF!+#REF!+#REF!+#REF!+#REF!+#REF!+#REF!+#REF!+#REF!+#REF!+#REF!+#REF!+#REF!+#REF!+#REF!+#REF!+'01.10.19'!J70</f>
        <v>#REF!</v>
      </c>
      <c r="K70" s="6" t="e">
        <f>#REF!+#REF!+#REF!+#REF!+#REF!+#REF!+#REF!+#REF!+#REF!+#REF!+#REF!+#REF!+#REF!+#REF!+#REF!+#REF!+#REF!+#REF!+#REF!+#REF!+#REF!+#REF!+#REF!+#REF!+#REF!+#REF!+#REF!+#REF!+#REF!+'01.10.19'!K70</f>
        <v>#REF!</v>
      </c>
      <c r="L70" s="6" t="e">
        <f>#REF!+#REF!+#REF!+#REF!+#REF!+#REF!+#REF!+#REF!+#REF!+#REF!+#REF!+#REF!+#REF!+#REF!+#REF!+#REF!+#REF!+#REF!+#REF!+#REF!+#REF!+#REF!+#REF!+#REF!+#REF!+#REF!+#REF!+#REF!+#REF!+'01.10.19'!L70</f>
        <v>#REF!</v>
      </c>
      <c r="M70" s="6" t="e">
        <f>#REF!+#REF!+#REF!+#REF!+#REF!+#REF!+#REF!+#REF!+#REF!+#REF!+#REF!+#REF!+#REF!+#REF!+#REF!+#REF!+#REF!+#REF!+#REF!+#REF!+#REF!+#REF!+#REF!+#REF!+#REF!+#REF!+#REF!+#REF!+#REF!+'01.10.19'!M70</f>
        <v>#REF!</v>
      </c>
      <c r="N70" s="6" t="e">
        <f>#REF!+#REF!+#REF!+#REF!+#REF!+#REF!+#REF!+#REF!+#REF!+#REF!+#REF!+#REF!+#REF!+#REF!+#REF!+#REF!+#REF!+#REF!+#REF!+#REF!+#REF!+#REF!+#REF!+#REF!+#REF!+#REF!+#REF!+#REF!+#REF!+'01.10.19'!N70</f>
        <v>#REF!</v>
      </c>
      <c r="O70" s="6" t="e">
        <f>#REF!+#REF!+#REF!+#REF!+#REF!+#REF!+#REF!+#REF!+#REF!+#REF!+#REF!+#REF!+#REF!+#REF!+#REF!+#REF!+#REF!+#REF!+#REF!+#REF!+#REF!+#REF!+#REF!+#REF!+#REF!+#REF!+#REF!+#REF!+#REF!+'01.10.19'!O70</f>
        <v>#REF!</v>
      </c>
      <c r="P70" s="6" t="e">
        <f>#REF!+#REF!+#REF!+#REF!+#REF!+#REF!+#REF!+#REF!+#REF!+#REF!+#REF!+#REF!+#REF!+#REF!+#REF!+#REF!+#REF!+#REF!+#REF!+#REF!+#REF!+#REF!+#REF!+#REF!+#REF!+#REF!+#REF!+#REF!+#REF!+'01.10.19'!P70</f>
        <v>#REF!</v>
      </c>
      <c r="Q70" s="7" t="e">
        <f t="shared" si="0"/>
        <v>#REF!</v>
      </c>
      <c r="R70" s="6" t="e">
        <f>#REF!+#REF!+#REF!+#REF!+#REF!+#REF!+#REF!+#REF!+#REF!+#REF!+#REF!+#REF!+#REF!+#REF!+#REF!+#REF!+#REF!+#REF!+#REF!+#REF!+#REF!+#REF!+#REF!+#REF!+#REF!+#REF!+#REF!+#REF!+#REF!+'01.10.19'!R70</f>
        <v>#REF!</v>
      </c>
      <c r="S70" s="6" t="e">
        <f t="shared" si="1"/>
        <v>#REF!</v>
      </c>
      <c r="T70" s="6">
        <f>-9850+1000</f>
        <v>-8850</v>
      </c>
      <c r="U70" s="6" t="e">
        <f t="shared" si="2"/>
        <v>#REF!</v>
      </c>
      <c r="V70" s="71"/>
      <c r="W70" s="57"/>
      <c r="X70" s="46"/>
      <c r="Y70" s="61"/>
      <c r="Z70" s="66"/>
      <c r="AA70" s="61"/>
      <c r="AB70" s="67"/>
      <c r="AC70" s="61"/>
      <c r="AD70" s="66"/>
      <c r="AE70" s="61"/>
      <c r="AF70" s="52">
        <f t="shared" si="3"/>
        <v>0</v>
      </c>
      <c r="AG70" s="46" t="e">
        <f t="shared" si="4"/>
        <v>#REF!</v>
      </c>
      <c r="AH70" s="51" t="e">
        <f t="shared" si="5"/>
        <v>#REF!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/>
      <c r="D71" s="6" t="e">
        <f>#REF!+#REF!+#REF!+#REF!+#REF!+#REF!+#REF!+#REF!+#REF!+#REF!+#REF!+#REF!+#REF!+#REF!+#REF!+#REF!+#REF!+#REF!+#REF!+#REF!+#REF!+#REF!+#REF!+#REF!+#REF!+#REF!+#REF!+#REF!+#REF!+'01.10.19'!D71</f>
        <v>#REF!</v>
      </c>
      <c r="E71" s="6" t="e">
        <f>#REF!+#REF!+#REF!+#REF!+#REF!+#REF!+#REF!+#REF!+#REF!+#REF!+#REF!+#REF!+#REF!+#REF!+#REF!+#REF!+#REF!+#REF!+#REF!+#REF!+#REF!+#REF!+#REF!+#REF!+#REF!+#REF!+#REF!+#REF!+#REF!+'01.10.19'!E71</f>
        <v>#REF!</v>
      </c>
      <c r="F71" s="6" t="e">
        <f>#REF!+#REF!+#REF!+#REF!+#REF!+#REF!+#REF!+#REF!+#REF!+#REF!+#REF!+#REF!+#REF!+#REF!+#REF!+#REF!+#REF!+#REF!+#REF!+#REF!+#REF!+#REF!+#REF!+#REF!+#REF!+#REF!+#REF!+#REF!+#REF!+'01.10.19'!F71</f>
        <v>#REF!</v>
      </c>
      <c r="G71" s="6" t="e">
        <f>#REF!+#REF!+#REF!+#REF!+#REF!+#REF!+#REF!+#REF!+#REF!+#REF!+#REF!+#REF!+#REF!+#REF!+#REF!+#REF!+#REF!+#REF!+#REF!+#REF!+#REF!+#REF!+#REF!+#REF!+#REF!+#REF!+#REF!+#REF!+#REF!+'01.10.19'!G71</f>
        <v>#REF!</v>
      </c>
      <c r="H71" s="6" t="e">
        <f>#REF!+#REF!+#REF!+#REF!+#REF!+#REF!+#REF!+#REF!+#REF!+#REF!+#REF!+#REF!+#REF!+#REF!+#REF!+#REF!+#REF!+#REF!+#REF!+#REF!+#REF!+#REF!+#REF!+#REF!+#REF!+#REF!+#REF!+#REF!+#REF!+'01.10.19'!H71</f>
        <v>#REF!</v>
      </c>
      <c r="I71" s="6" t="e">
        <f>#REF!+#REF!+#REF!+#REF!+#REF!+#REF!+#REF!+#REF!+#REF!+#REF!+#REF!+#REF!+#REF!+#REF!+#REF!+#REF!+#REF!+#REF!+#REF!+#REF!+#REF!+#REF!+#REF!+#REF!+#REF!+#REF!+#REF!+#REF!+#REF!+'01.10.19'!I71</f>
        <v>#REF!</v>
      </c>
      <c r="J71" s="6" t="e">
        <f>#REF!+#REF!+#REF!+#REF!+#REF!+#REF!+#REF!+#REF!+#REF!+#REF!+#REF!+#REF!+#REF!+#REF!+#REF!+#REF!+#REF!+#REF!+#REF!+#REF!+#REF!+#REF!+#REF!+#REF!+#REF!+#REF!+#REF!+#REF!+#REF!+'01.10.19'!J71</f>
        <v>#REF!</v>
      </c>
      <c r="K71" s="6" t="e">
        <f>#REF!+#REF!+#REF!+#REF!+#REF!+#REF!+#REF!+#REF!+#REF!+#REF!+#REF!+#REF!+#REF!+#REF!+#REF!+#REF!+#REF!+#REF!+#REF!+#REF!+#REF!+#REF!+#REF!+#REF!+#REF!+#REF!+#REF!+#REF!+#REF!+'01.10.19'!K71</f>
        <v>#REF!</v>
      </c>
      <c r="L71" s="6" t="e">
        <f>#REF!+#REF!+#REF!+#REF!+#REF!+#REF!+#REF!+#REF!+#REF!+#REF!+#REF!+#REF!+#REF!+#REF!+#REF!+#REF!+#REF!+#REF!+#REF!+#REF!+#REF!+#REF!+#REF!+#REF!+#REF!+#REF!+#REF!+#REF!+#REF!+'01.10.19'!L71</f>
        <v>#REF!</v>
      </c>
      <c r="M71" s="6" t="e">
        <f>#REF!+#REF!+#REF!+#REF!+#REF!+#REF!+#REF!+#REF!+#REF!+#REF!+#REF!+#REF!+#REF!+#REF!+#REF!+#REF!+#REF!+#REF!+#REF!+#REF!+#REF!+#REF!+#REF!+#REF!+#REF!+#REF!+#REF!+#REF!+#REF!+'01.10.19'!M71</f>
        <v>#REF!</v>
      </c>
      <c r="N71" s="6" t="e">
        <f>#REF!+#REF!+#REF!+#REF!+#REF!+#REF!+#REF!+#REF!+#REF!+#REF!+#REF!+#REF!+#REF!+#REF!+#REF!+#REF!+#REF!+#REF!+#REF!+#REF!+#REF!+#REF!+#REF!+#REF!+#REF!+#REF!+#REF!+#REF!+#REF!+'01.10.19'!N71</f>
        <v>#REF!</v>
      </c>
      <c r="O71" s="6" t="e">
        <f>#REF!+#REF!+#REF!+#REF!+#REF!+#REF!+#REF!+#REF!+#REF!+#REF!+#REF!+#REF!+#REF!+#REF!+#REF!+#REF!+#REF!+#REF!+#REF!+#REF!+#REF!+#REF!+#REF!+#REF!+#REF!+#REF!+#REF!+#REF!+#REF!+'01.10.19'!O71</f>
        <v>#REF!</v>
      </c>
      <c r="P71" s="6" t="e">
        <f>#REF!+#REF!+#REF!+#REF!+#REF!+#REF!+#REF!+#REF!+#REF!+#REF!+#REF!+#REF!+#REF!+#REF!+#REF!+#REF!+#REF!+#REF!+#REF!+#REF!+#REF!+#REF!+#REF!+#REF!+#REF!+#REF!+#REF!+#REF!+#REF!+'01.10.19'!P71</f>
        <v>#REF!</v>
      </c>
      <c r="Q71" s="7" t="e">
        <f t="shared" si="0"/>
        <v>#REF!</v>
      </c>
      <c r="R71" s="6" t="e">
        <f>#REF!+#REF!+#REF!+#REF!+#REF!+#REF!+#REF!+#REF!+#REF!+#REF!+#REF!+#REF!+#REF!+#REF!+#REF!+#REF!+#REF!+#REF!+#REF!+#REF!+#REF!+#REF!+#REF!+#REF!+#REF!+#REF!+#REF!+#REF!+#REF!+'01.10.19'!R71</f>
        <v>#REF!</v>
      </c>
      <c r="S71" s="6" t="e">
        <f t="shared" si="1"/>
        <v>#REF!</v>
      </c>
      <c r="T71" s="6">
        <f>-19900+200+100-9000</f>
        <v>-28600</v>
      </c>
      <c r="U71" s="6" t="e">
        <f t="shared" si="2"/>
        <v>#REF!</v>
      </c>
      <c r="V71" s="86">
        <v>75</v>
      </c>
      <c r="W71" s="57"/>
      <c r="X71" s="46"/>
      <c r="Y71" s="61"/>
      <c r="Z71" s="47"/>
      <c r="AA71" s="61"/>
      <c r="AB71" s="64"/>
      <c r="AC71" s="61"/>
      <c r="AD71" s="66"/>
      <c r="AE71" s="61"/>
      <c r="AF71" s="52">
        <f t="shared" si="3"/>
        <v>0</v>
      </c>
      <c r="AG71" s="46" t="e">
        <f t="shared" si="4"/>
        <v>#REF!</v>
      </c>
      <c r="AH71" s="51" t="e">
        <f t="shared" si="5"/>
        <v>#REF!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57"/>
      <c r="X72" s="43"/>
      <c r="Y72" s="54"/>
      <c r="Z72" s="43"/>
      <c r="AA72" s="62"/>
      <c r="AB72" s="48"/>
      <c r="AC72" s="55"/>
      <c r="AD72" s="46"/>
      <c r="AE72" s="52"/>
      <c r="AF72" s="52">
        <f t="shared" ref="AF72" si="6">SUM(Y72:AE72)</f>
        <v>0</v>
      </c>
      <c r="AG72" s="46">
        <f t="shared" ref="AG72" si="7">U72+AF72</f>
        <v>0</v>
      </c>
      <c r="AH72" s="51">
        <f t="shared" ref="AH72" si="8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86">
        <f>SUM(C7:C72)</f>
        <v>0</v>
      </c>
      <c r="D73" s="89" t="e">
        <f t="shared" ref="D73:V73" si="9">SUM(D7:D72)</f>
        <v>#REF!</v>
      </c>
      <c r="E73" s="89" t="e">
        <f t="shared" si="9"/>
        <v>#REF!</v>
      </c>
      <c r="F73" s="89" t="e">
        <f t="shared" si="9"/>
        <v>#REF!</v>
      </c>
      <c r="G73" s="90" t="e">
        <f t="shared" si="9"/>
        <v>#REF!</v>
      </c>
      <c r="H73" s="27" t="e">
        <f t="shared" si="9"/>
        <v>#REF!</v>
      </c>
      <c r="I73" s="89" t="e">
        <f t="shared" si="9"/>
        <v>#REF!</v>
      </c>
      <c r="J73" s="89" t="e">
        <f t="shared" si="9"/>
        <v>#REF!</v>
      </c>
      <c r="K73" s="90" t="e">
        <f t="shared" si="9"/>
        <v>#REF!</v>
      </c>
      <c r="L73" s="89" t="e">
        <f t="shared" si="9"/>
        <v>#REF!</v>
      </c>
      <c r="M73" s="89" t="e">
        <f t="shared" si="9"/>
        <v>#REF!</v>
      </c>
      <c r="N73" s="89" t="e">
        <f t="shared" si="9"/>
        <v>#REF!</v>
      </c>
      <c r="O73" s="89" t="e">
        <f t="shared" si="9"/>
        <v>#REF!</v>
      </c>
      <c r="P73" s="89" t="e">
        <f t="shared" si="9"/>
        <v>#REF!</v>
      </c>
      <c r="Q73" s="86" t="e">
        <f t="shared" si="9"/>
        <v>#REF!</v>
      </c>
      <c r="R73" s="86" t="e">
        <f t="shared" si="9"/>
        <v>#REF!</v>
      </c>
      <c r="S73" s="86" t="e">
        <f t="shared" si="9"/>
        <v>#REF!</v>
      </c>
      <c r="T73" s="86">
        <f t="shared" si="9"/>
        <v>-233875</v>
      </c>
      <c r="U73" s="86" t="e">
        <f t="shared" si="9"/>
        <v>#REF!</v>
      </c>
      <c r="V73" s="86">
        <f t="shared" si="9"/>
        <v>5090</v>
      </c>
      <c r="W73" s="24"/>
      <c r="X73" s="43"/>
      <c r="Y73" s="53">
        <f>SUM(Y7:Y72)</f>
        <v>0</v>
      </c>
      <c r="Z73" s="53">
        <f t="shared" ref="Z73:AJ73" si="10">SUM(Z7:Z72)</f>
        <v>0</v>
      </c>
      <c r="AA73" s="53">
        <f t="shared" si="10"/>
        <v>0</v>
      </c>
      <c r="AB73" s="53">
        <f t="shared" si="10"/>
        <v>0</v>
      </c>
      <c r="AC73" s="53">
        <f t="shared" si="10"/>
        <v>0</v>
      </c>
      <c r="AD73" s="59">
        <f t="shared" si="10"/>
        <v>0</v>
      </c>
      <c r="AE73" s="59">
        <f t="shared" si="10"/>
        <v>0</v>
      </c>
      <c r="AF73" s="60">
        <f t="shared" si="10"/>
        <v>0</v>
      </c>
      <c r="AG73" s="43" t="e">
        <f t="shared" si="10"/>
        <v>#REF!</v>
      </c>
      <c r="AH73" s="43" t="e">
        <f t="shared" si="10"/>
        <v>#REF!</v>
      </c>
      <c r="AI73" s="43">
        <f t="shared" si="10"/>
        <v>0</v>
      </c>
      <c r="AJ73" s="43">
        <f t="shared" si="10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 t="e">
        <f>Q73</f>
        <v>#REF!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 t="e">
        <f>E74</f>
        <v>#REF!</v>
      </c>
      <c r="S74" s="211"/>
      <c r="T74" s="212" t="e">
        <f>R74+R75</f>
        <v>#REF!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 t="e">
        <f>D73</f>
        <v>#REF!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211" t="e">
        <f>E75</f>
        <v>#REF!</v>
      </c>
      <c r="S75" s="211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 t="e">
        <f>R73</f>
        <v>#REF!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 t="e">
        <f>D76</f>
        <v>#REF!</v>
      </c>
      <c r="S76" s="197"/>
      <c r="T76" s="22"/>
      <c r="U76" s="22"/>
      <c r="V76" s="2"/>
      <c r="W76" s="23"/>
      <c r="X76" s="23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6000+12000+6000+5750+11950+2900+12100+6000+12000+12000+6000+24000+2500+12100+6000+6000+6000+2850+23400+6000+2000+12000+12000+6000+18000+30000</f>
        <v>261550</v>
      </c>
      <c r="G77" s="204"/>
      <c r="H77" s="203" t="s">
        <v>92</v>
      </c>
      <c r="I77" s="203"/>
      <c r="J77" s="204"/>
      <c r="K77" s="204"/>
      <c r="L77" s="39" t="s">
        <v>89</v>
      </c>
      <c r="M77" s="40">
        <f>6000+2000</f>
        <v>8000</v>
      </c>
      <c r="N77" s="40" t="s">
        <v>90</v>
      </c>
      <c r="O77" s="82"/>
      <c r="P77" s="40" t="s">
        <v>91</v>
      </c>
      <c r="Q77" s="40">
        <v>17500</v>
      </c>
      <c r="R77" s="197">
        <f>Q77+O77+M77+J77+F77</f>
        <v>287050</v>
      </c>
      <c r="S77" s="197"/>
      <c r="T77" s="22"/>
      <c r="U77" s="22"/>
      <c r="V77" s="2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 t="e">
        <f>R76-R77</f>
        <v>#REF!</v>
      </c>
      <c r="S80" s="197"/>
      <c r="T80" s="22"/>
      <c r="U80" s="22"/>
      <c r="V80" s="2"/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73</v>
      </c>
      <c r="D84" s="194"/>
      <c r="E84" s="194"/>
      <c r="F84" s="194"/>
      <c r="G84" s="5"/>
      <c r="H84" s="194" t="s">
        <v>69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122</v>
      </c>
      <c r="S84" s="194"/>
      <c r="T84" s="194"/>
      <c r="U84" s="194"/>
      <c r="V84" s="194"/>
    </row>
    <row r="86" spans="1:31">
      <c r="S86" s="36"/>
      <c r="T86" s="36" t="s">
        <v>7</v>
      </c>
      <c r="U86" s="36"/>
      <c r="V86" s="36" t="s">
        <v>124</v>
      </c>
      <c r="W86" s="88" t="s">
        <v>14</v>
      </c>
      <c r="X86" s="36" t="s">
        <v>0</v>
      </c>
    </row>
    <row r="87" spans="1:31">
      <c r="C87" s="63"/>
      <c r="Q87" s="63"/>
      <c r="S87" s="36">
        <v>1</v>
      </c>
      <c r="T87" s="36">
        <v>33115</v>
      </c>
      <c r="U87" s="36">
        <v>1</v>
      </c>
      <c r="V87" s="36">
        <v>19790</v>
      </c>
      <c r="W87" s="36">
        <v>10570</v>
      </c>
      <c r="X87" s="36">
        <f>SUM(V87:W87)</f>
        <v>30360</v>
      </c>
    </row>
    <row r="88" spans="1:31">
      <c r="B88" s="36"/>
      <c r="C88" s="36"/>
      <c r="S88" s="36">
        <v>2</v>
      </c>
      <c r="T88" s="36">
        <v>45300</v>
      </c>
      <c r="U88" s="36">
        <v>2</v>
      </c>
      <c r="V88" s="36">
        <v>17950</v>
      </c>
      <c r="W88" s="36">
        <v>56025</v>
      </c>
      <c r="X88" s="36">
        <f t="shared" ref="X88:X117" si="11">SUM(V88:W88)</f>
        <v>73975</v>
      </c>
    </row>
    <row r="89" spans="1:31">
      <c r="B89" s="36"/>
      <c r="S89" s="36">
        <v>3</v>
      </c>
      <c r="T89" s="36">
        <v>36450</v>
      </c>
      <c r="U89" s="36">
        <v>3</v>
      </c>
      <c r="V89" s="36">
        <v>32875</v>
      </c>
      <c r="W89" s="36">
        <v>19690</v>
      </c>
      <c r="X89" s="36">
        <f t="shared" si="11"/>
        <v>52565</v>
      </c>
    </row>
    <row r="90" spans="1:31">
      <c r="B90" s="36"/>
      <c r="C90" s="36"/>
      <c r="S90" s="36">
        <v>4</v>
      </c>
      <c r="T90" s="36">
        <v>32000</v>
      </c>
      <c r="U90" s="36">
        <v>4</v>
      </c>
      <c r="V90" s="36">
        <v>2950</v>
      </c>
      <c r="W90" s="36">
        <v>46830</v>
      </c>
      <c r="X90" s="36">
        <f t="shared" si="11"/>
        <v>49780</v>
      </c>
    </row>
    <row r="91" spans="1:31">
      <c r="B91" s="36"/>
      <c r="C91" s="36"/>
      <c r="S91" s="36">
        <v>5</v>
      </c>
      <c r="T91" s="36">
        <v>43990</v>
      </c>
      <c r="U91" s="36">
        <v>5</v>
      </c>
      <c r="V91" s="83"/>
      <c r="W91" s="83">
        <v>11130</v>
      </c>
      <c r="X91" s="36">
        <f t="shared" si="11"/>
        <v>11130</v>
      </c>
    </row>
    <row r="92" spans="1:31">
      <c r="B92" s="36"/>
      <c r="C92" s="36"/>
      <c r="S92" s="36">
        <v>6</v>
      </c>
      <c r="T92" s="36">
        <v>30050</v>
      </c>
      <c r="U92" s="36">
        <v>6</v>
      </c>
      <c r="V92" s="36">
        <v>16950</v>
      </c>
      <c r="W92" s="36">
        <v>54775</v>
      </c>
      <c r="X92" s="36">
        <f t="shared" si="11"/>
        <v>71725</v>
      </c>
    </row>
    <row r="93" spans="1:31">
      <c r="B93" s="36"/>
      <c r="C93" s="41"/>
      <c r="S93" s="36">
        <v>7</v>
      </c>
      <c r="T93" s="36">
        <v>32125</v>
      </c>
      <c r="U93" s="36">
        <v>7</v>
      </c>
      <c r="V93" s="36">
        <v>6600</v>
      </c>
      <c r="W93" s="36">
        <v>62550</v>
      </c>
      <c r="X93" s="36">
        <f t="shared" si="11"/>
        <v>69150</v>
      </c>
    </row>
    <row r="94" spans="1:31">
      <c r="B94" s="36"/>
      <c r="C94" s="36"/>
      <c r="S94" s="36">
        <v>8</v>
      </c>
      <c r="T94" s="36">
        <v>56885</v>
      </c>
      <c r="U94" s="36">
        <v>8</v>
      </c>
      <c r="V94" s="36">
        <v>54300</v>
      </c>
      <c r="W94" s="36">
        <v>10975</v>
      </c>
      <c r="X94" s="36">
        <f t="shared" si="11"/>
        <v>65275</v>
      </c>
    </row>
    <row r="95" spans="1:31">
      <c r="B95" s="36"/>
      <c r="C95" s="36"/>
      <c r="S95" s="36">
        <v>9</v>
      </c>
      <c r="T95" s="36">
        <v>27750</v>
      </c>
      <c r="U95" s="36">
        <v>9</v>
      </c>
      <c r="V95" s="36">
        <v>36515</v>
      </c>
      <c r="W95" s="36">
        <v>21250</v>
      </c>
      <c r="X95" s="36">
        <f t="shared" si="11"/>
        <v>57765</v>
      </c>
    </row>
    <row r="96" spans="1:31">
      <c r="B96" s="36"/>
      <c r="C96" s="36"/>
      <c r="S96" s="36">
        <v>10</v>
      </c>
      <c r="T96" s="36">
        <v>10600</v>
      </c>
      <c r="U96" s="36">
        <v>10</v>
      </c>
      <c r="V96" s="36">
        <v>2420</v>
      </c>
      <c r="W96" s="36">
        <v>17500</v>
      </c>
      <c r="X96" s="36">
        <f t="shared" si="11"/>
        <v>19920</v>
      </c>
    </row>
    <row r="97" spans="19:24">
      <c r="S97" s="36">
        <v>11</v>
      </c>
      <c r="T97" s="36">
        <v>38000</v>
      </c>
      <c r="U97" s="36">
        <v>11</v>
      </c>
      <c r="V97" s="36">
        <v>2500</v>
      </c>
      <c r="W97" s="36">
        <v>25825</v>
      </c>
      <c r="X97" s="36">
        <f t="shared" si="11"/>
        <v>28325</v>
      </c>
    </row>
    <row r="98" spans="19:24">
      <c r="S98" s="36">
        <v>12</v>
      </c>
      <c r="T98" s="36">
        <v>32935</v>
      </c>
      <c r="U98" s="36">
        <v>12</v>
      </c>
      <c r="V98" s="36">
        <v>31800</v>
      </c>
      <c r="W98" s="36">
        <v>20500</v>
      </c>
      <c r="X98" s="36">
        <f t="shared" si="11"/>
        <v>52300</v>
      </c>
    </row>
    <row r="99" spans="19:24">
      <c r="S99" s="36">
        <v>13</v>
      </c>
      <c r="T99" s="36">
        <v>64650</v>
      </c>
      <c r="U99" s="36">
        <v>13</v>
      </c>
      <c r="V99" s="36">
        <v>3265</v>
      </c>
      <c r="W99" s="36">
        <v>80995</v>
      </c>
      <c r="X99" s="36">
        <f t="shared" si="11"/>
        <v>84260</v>
      </c>
    </row>
    <row r="100" spans="19:24">
      <c r="S100" s="36">
        <v>14</v>
      </c>
      <c r="T100" s="36">
        <v>69000</v>
      </c>
      <c r="U100" s="36">
        <v>14</v>
      </c>
      <c r="V100" s="36">
        <v>2000</v>
      </c>
      <c r="W100" s="36">
        <v>66250</v>
      </c>
      <c r="X100" s="36">
        <f t="shared" si="11"/>
        <v>68250</v>
      </c>
    </row>
    <row r="101" spans="19:24">
      <c r="S101" s="36">
        <v>15</v>
      </c>
      <c r="T101" s="36">
        <v>62490</v>
      </c>
      <c r="U101" s="36">
        <v>15</v>
      </c>
      <c r="V101" s="36">
        <v>13360</v>
      </c>
      <c r="W101" s="36">
        <v>49135</v>
      </c>
      <c r="X101" s="36">
        <f t="shared" si="11"/>
        <v>62495</v>
      </c>
    </row>
    <row r="102" spans="19:24">
      <c r="S102" s="36">
        <v>16</v>
      </c>
      <c r="T102" s="36">
        <v>19100</v>
      </c>
      <c r="U102" s="36">
        <v>16</v>
      </c>
      <c r="V102" s="36">
        <v>37950</v>
      </c>
      <c r="W102" s="36">
        <v>24400</v>
      </c>
      <c r="X102" s="36">
        <f t="shared" si="11"/>
        <v>62350</v>
      </c>
    </row>
    <row r="103" spans="19:24">
      <c r="S103" s="36">
        <v>17</v>
      </c>
      <c r="T103" s="36">
        <v>11660</v>
      </c>
      <c r="U103" s="36">
        <v>17</v>
      </c>
      <c r="V103" s="36">
        <v>54450</v>
      </c>
      <c r="W103" s="36">
        <v>20975</v>
      </c>
      <c r="X103" s="36">
        <f t="shared" si="11"/>
        <v>75425</v>
      </c>
    </row>
    <row r="104" spans="19:24">
      <c r="S104" s="36">
        <v>18</v>
      </c>
      <c r="T104" s="36">
        <v>41850</v>
      </c>
      <c r="U104" s="36">
        <v>18</v>
      </c>
      <c r="V104" s="36">
        <v>13400</v>
      </c>
      <c r="W104" s="36">
        <v>70975</v>
      </c>
      <c r="X104" s="36">
        <f t="shared" si="11"/>
        <v>84375</v>
      </c>
    </row>
    <row r="105" spans="19:24">
      <c r="S105" s="36">
        <v>19</v>
      </c>
      <c r="T105" s="36">
        <v>67600</v>
      </c>
      <c r="U105" s="36">
        <v>19</v>
      </c>
      <c r="V105" s="36">
        <v>600</v>
      </c>
      <c r="W105" s="36">
        <v>47920</v>
      </c>
      <c r="X105" s="36">
        <f t="shared" si="11"/>
        <v>48520</v>
      </c>
    </row>
    <row r="106" spans="19:24">
      <c r="S106" s="36">
        <v>20</v>
      </c>
      <c r="T106" s="36">
        <v>22750</v>
      </c>
      <c r="U106" s="36">
        <v>20</v>
      </c>
      <c r="V106" s="36">
        <v>32680</v>
      </c>
      <c r="W106" s="36">
        <v>25380</v>
      </c>
      <c r="X106" s="36">
        <f t="shared" si="11"/>
        <v>58060</v>
      </c>
    </row>
    <row r="107" spans="19:24">
      <c r="S107" s="36">
        <v>21</v>
      </c>
      <c r="T107" s="36">
        <v>56025</v>
      </c>
      <c r="U107" s="36">
        <v>21</v>
      </c>
      <c r="V107" s="36">
        <v>5520</v>
      </c>
      <c r="W107" s="36">
        <v>87350</v>
      </c>
      <c r="X107" s="36">
        <f t="shared" si="11"/>
        <v>92870</v>
      </c>
    </row>
    <row r="108" spans="19:24">
      <c r="S108" s="36">
        <v>22</v>
      </c>
      <c r="T108" s="36">
        <v>29020</v>
      </c>
      <c r="U108" s="36">
        <v>22</v>
      </c>
      <c r="V108" s="36">
        <v>59865</v>
      </c>
      <c r="W108" s="36">
        <v>29900</v>
      </c>
      <c r="X108" s="36">
        <f t="shared" si="11"/>
        <v>89765</v>
      </c>
    </row>
    <row r="109" spans="19:24">
      <c r="S109" s="36">
        <v>23</v>
      </c>
      <c r="T109" s="36">
        <v>29020</v>
      </c>
      <c r="U109" s="36">
        <v>23</v>
      </c>
      <c r="V109" s="36">
        <v>59865</v>
      </c>
      <c r="W109" s="36">
        <v>29900</v>
      </c>
      <c r="X109" s="36">
        <f t="shared" si="11"/>
        <v>89765</v>
      </c>
    </row>
    <row r="110" spans="19:24">
      <c r="S110" s="36">
        <v>24</v>
      </c>
      <c r="T110" s="36">
        <v>16500</v>
      </c>
      <c r="U110" s="36">
        <v>24</v>
      </c>
      <c r="V110" s="36">
        <v>6860</v>
      </c>
      <c r="W110" s="36">
        <v>80570</v>
      </c>
      <c r="X110" s="36">
        <f t="shared" si="11"/>
        <v>87430</v>
      </c>
    </row>
    <row r="111" spans="19:24">
      <c r="S111" s="36">
        <v>25</v>
      </c>
      <c r="T111" s="36">
        <v>67400</v>
      </c>
      <c r="U111" s="36">
        <v>25</v>
      </c>
      <c r="V111" s="36">
        <v>37810</v>
      </c>
      <c r="W111" s="36">
        <v>31560</v>
      </c>
      <c r="X111" s="36">
        <f t="shared" si="11"/>
        <v>69370</v>
      </c>
    </row>
    <row r="112" spans="19:24">
      <c r="S112" s="36">
        <v>26</v>
      </c>
      <c r="T112" s="36">
        <v>46200</v>
      </c>
      <c r="U112" s="36">
        <v>26</v>
      </c>
      <c r="V112" s="36">
        <v>13250</v>
      </c>
      <c r="W112" s="36">
        <v>10300</v>
      </c>
      <c r="X112" s="36">
        <f t="shared" si="11"/>
        <v>23550</v>
      </c>
    </row>
    <row r="113" spans="19:24">
      <c r="S113" s="36">
        <v>27</v>
      </c>
      <c r="T113" s="36">
        <v>42400</v>
      </c>
      <c r="U113" s="36">
        <v>27</v>
      </c>
      <c r="V113" s="36">
        <v>16270</v>
      </c>
      <c r="W113" s="36">
        <v>61650</v>
      </c>
      <c r="X113" s="36">
        <f t="shared" si="11"/>
        <v>77920</v>
      </c>
    </row>
    <row r="114" spans="19:24">
      <c r="S114" s="36">
        <v>28</v>
      </c>
      <c r="T114" s="36">
        <v>39750</v>
      </c>
      <c r="U114" s="36">
        <v>28</v>
      </c>
      <c r="V114" s="36">
        <v>6325</v>
      </c>
      <c r="W114" s="36">
        <v>72600</v>
      </c>
      <c r="X114" s="36">
        <f t="shared" si="11"/>
        <v>78925</v>
      </c>
    </row>
    <row r="115" spans="19:24">
      <c r="S115" s="36">
        <v>29</v>
      </c>
      <c r="T115" s="36">
        <v>33950</v>
      </c>
      <c r="U115" s="36">
        <v>29</v>
      </c>
      <c r="V115" s="36"/>
      <c r="W115" s="36">
        <v>24765</v>
      </c>
      <c r="X115" s="36">
        <f t="shared" si="11"/>
        <v>24765</v>
      </c>
    </row>
    <row r="116" spans="19:24">
      <c r="S116" s="36">
        <v>30</v>
      </c>
      <c r="T116" s="36">
        <v>33920</v>
      </c>
      <c r="U116" s="36">
        <v>30</v>
      </c>
      <c r="V116" s="36">
        <v>49200</v>
      </c>
      <c r="W116" s="36">
        <v>23850</v>
      </c>
      <c r="X116" s="36">
        <f t="shared" si="11"/>
        <v>73050</v>
      </c>
    </row>
    <row r="117" spans="19:24">
      <c r="S117" s="36">
        <v>31</v>
      </c>
      <c r="T117" s="36">
        <v>68900</v>
      </c>
      <c r="U117" s="36">
        <v>31</v>
      </c>
      <c r="V117" s="36">
        <f>48250-48065</f>
        <v>185</v>
      </c>
      <c r="W117" s="36">
        <f>46800+28870</f>
        <v>75670</v>
      </c>
      <c r="X117" s="36">
        <f t="shared" si="11"/>
        <v>75855</v>
      </c>
    </row>
    <row r="118" spans="19:24">
      <c r="T118" s="63">
        <f>SUM(T87:T117)</f>
        <v>1241385</v>
      </c>
      <c r="U118" s="63"/>
      <c r="V118" s="63">
        <f>SUM(V87:V117)</f>
        <v>637505</v>
      </c>
      <c r="W118" s="63">
        <f>SUM(W87:W117)</f>
        <v>1271765</v>
      </c>
      <c r="X118" s="36">
        <f>SUM(V118:W118)</f>
        <v>1909270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X76"/>
  <sheetViews>
    <sheetView topLeftCell="A10" workbookViewId="0">
      <selection activeCell="F69" sqref="F69:G74"/>
    </sheetView>
  </sheetViews>
  <sheetFormatPr defaultRowHeight="14.4"/>
  <cols>
    <col min="1" max="1" width="6.6640625" customWidth="1"/>
    <col min="2" max="2" width="20.109375" customWidth="1"/>
    <col min="4" max="4" width="7.5546875" customWidth="1"/>
    <col min="5" max="5" width="8" style="1" customWidth="1"/>
    <col min="6" max="6" width="8.21875" style="1" customWidth="1"/>
    <col min="7" max="7" width="7.44140625" customWidth="1"/>
    <col min="8" max="8" width="10.33203125" customWidth="1"/>
  </cols>
  <sheetData>
    <row r="1" spans="1:24" ht="5.4" customHeight="1"/>
    <row r="2" spans="1:24">
      <c r="A2" s="249" t="s">
        <v>1</v>
      </c>
      <c r="B2" s="249"/>
      <c r="C2" s="249"/>
      <c r="D2" s="249"/>
      <c r="E2" s="249"/>
      <c r="F2" s="249"/>
      <c r="G2" s="249"/>
      <c r="H2" s="249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1:24">
      <c r="A3" s="250" t="s">
        <v>2</v>
      </c>
      <c r="B3" s="250"/>
      <c r="C3" s="250"/>
      <c r="D3" s="250"/>
      <c r="E3" s="250"/>
      <c r="F3" s="250"/>
      <c r="G3" s="250"/>
      <c r="H3" s="250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</row>
    <row r="4" spans="1:24">
      <c r="A4" s="251" t="s">
        <v>119</v>
      </c>
      <c r="B4" s="251"/>
      <c r="C4" s="251"/>
      <c r="D4" s="251"/>
      <c r="E4" s="251"/>
      <c r="F4" s="251"/>
      <c r="G4" s="251"/>
      <c r="H4" s="251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spans="1:24" ht="6" customHeight="1"/>
    <row r="6" spans="1:24">
      <c r="A6" s="254" t="s">
        <v>112</v>
      </c>
      <c r="B6" s="254"/>
    </row>
    <row r="7" spans="1:24" ht="10.199999999999999" customHeight="1">
      <c r="A7" s="257" t="s">
        <v>117</v>
      </c>
      <c r="B7" s="255" t="s">
        <v>5</v>
      </c>
      <c r="C7" s="257" t="s">
        <v>82</v>
      </c>
      <c r="D7" s="259" t="s">
        <v>121</v>
      </c>
      <c r="E7" s="259" t="s">
        <v>120</v>
      </c>
      <c r="F7" s="261" t="s">
        <v>102</v>
      </c>
      <c r="G7" s="260" t="s">
        <v>84</v>
      </c>
      <c r="H7" s="260" t="s">
        <v>118</v>
      </c>
    </row>
    <row r="8" spans="1:24" ht="13.2" customHeight="1">
      <c r="A8" s="258"/>
      <c r="B8" s="256"/>
      <c r="C8" s="258"/>
      <c r="D8" s="259"/>
      <c r="E8" s="259"/>
      <c r="F8" s="261"/>
      <c r="G8" s="260"/>
      <c r="H8" s="260"/>
    </row>
    <row r="9" spans="1:24" ht="10.050000000000001" customHeight="1">
      <c r="A9" s="15">
        <v>1</v>
      </c>
      <c r="B9" s="77" t="s">
        <v>19</v>
      </c>
      <c r="C9" s="15"/>
      <c r="D9" s="75"/>
      <c r="E9" s="75"/>
      <c r="F9" s="75"/>
      <c r="G9" s="15"/>
      <c r="H9" s="15"/>
    </row>
    <row r="10" spans="1:24" ht="10.050000000000001" customHeight="1">
      <c r="A10" s="15">
        <v>2</v>
      </c>
      <c r="B10" s="77" t="s">
        <v>20</v>
      </c>
      <c r="C10" s="15"/>
      <c r="D10" s="75"/>
      <c r="E10" s="75"/>
      <c r="F10" s="75"/>
      <c r="G10" s="15"/>
      <c r="H10" s="15"/>
    </row>
    <row r="11" spans="1:24" ht="10.050000000000001" customHeight="1">
      <c r="A11" s="15">
        <v>3</v>
      </c>
      <c r="B11" s="77" t="s">
        <v>21</v>
      </c>
      <c r="C11" s="15"/>
      <c r="D11" s="75"/>
      <c r="E11" s="75"/>
      <c r="F11" s="75"/>
      <c r="G11" s="15"/>
      <c r="H11" s="15"/>
    </row>
    <row r="12" spans="1:24" ht="10.050000000000001" customHeight="1">
      <c r="A12" s="15">
        <v>4</v>
      </c>
      <c r="B12" s="77" t="s">
        <v>22</v>
      </c>
      <c r="C12" s="15"/>
      <c r="D12" s="75"/>
      <c r="E12" s="75"/>
      <c r="F12" s="75"/>
      <c r="G12" s="15"/>
      <c r="H12" s="15"/>
    </row>
    <row r="13" spans="1:24" ht="10.050000000000001" customHeight="1">
      <c r="A13" s="15">
        <v>5</v>
      </c>
      <c r="B13" s="77" t="s">
        <v>23</v>
      </c>
      <c r="C13" s="15"/>
      <c r="D13" s="75"/>
      <c r="E13" s="75"/>
      <c r="F13" s="75"/>
      <c r="G13" s="15"/>
      <c r="H13" s="15"/>
    </row>
    <row r="14" spans="1:24" ht="10.050000000000001" customHeight="1">
      <c r="A14" s="15">
        <v>6</v>
      </c>
      <c r="B14" s="77" t="s">
        <v>24</v>
      </c>
      <c r="C14" s="15"/>
      <c r="D14" s="75"/>
      <c r="E14" s="75"/>
      <c r="F14" s="75"/>
      <c r="G14" s="15"/>
      <c r="H14" s="15"/>
    </row>
    <row r="15" spans="1:24" ht="10.050000000000001" customHeight="1">
      <c r="A15" s="15">
        <v>7</v>
      </c>
      <c r="B15" s="77" t="s">
        <v>81</v>
      </c>
      <c r="C15" s="15"/>
      <c r="D15" s="75"/>
      <c r="E15" s="75"/>
      <c r="F15" s="75"/>
      <c r="G15" s="15"/>
      <c r="H15" s="15"/>
    </row>
    <row r="16" spans="1:24" ht="10.050000000000001" customHeight="1">
      <c r="A16" s="15">
        <v>8</v>
      </c>
      <c r="B16" s="77" t="s">
        <v>76</v>
      </c>
      <c r="C16" s="15"/>
      <c r="D16" s="75"/>
      <c r="E16" s="75"/>
      <c r="F16" s="75"/>
      <c r="G16" s="15"/>
      <c r="H16" s="15"/>
    </row>
    <row r="17" spans="1:8" ht="10.050000000000001" customHeight="1">
      <c r="A17" s="15">
        <v>9</v>
      </c>
      <c r="B17" s="77" t="s">
        <v>106</v>
      </c>
      <c r="C17" s="15"/>
      <c r="D17" s="75"/>
      <c r="E17" s="75"/>
      <c r="F17" s="75"/>
      <c r="G17" s="15"/>
      <c r="H17" s="15"/>
    </row>
    <row r="18" spans="1:8" ht="10.050000000000001" customHeight="1">
      <c r="A18" s="15">
        <v>10</v>
      </c>
      <c r="B18" s="77" t="s">
        <v>25</v>
      </c>
      <c r="C18" s="15"/>
      <c r="D18" s="75"/>
      <c r="E18" s="75"/>
      <c r="F18" s="75"/>
      <c r="G18" s="15"/>
      <c r="H18" s="15"/>
    </row>
    <row r="19" spans="1:8" ht="10.050000000000001" customHeight="1">
      <c r="A19" s="15">
        <v>11</v>
      </c>
      <c r="B19" s="77" t="s">
        <v>26</v>
      </c>
      <c r="C19" s="15"/>
      <c r="D19" s="75"/>
      <c r="E19" s="75"/>
      <c r="F19" s="75"/>
      <c r="G19" s="15"/>
      <c r="H19" s="15"/>
    </row>
    <row r="20" spans="1:8" ht="10.050000000000001" customHeight="1">
      <c r="A20" s="15">
        <v>12</v>
      </c>
      <c r="B20" s="78" t="s">
        <v>64</v>
      </c>
      <c r="C20" s="15"/>
      <c r="D20" s="75"/>
      <c r="E20" s="75"/>
      <c r="F20" s="75"/>
      <c r="G20" s="15"/>
      <c r="H20" s="15"/>
    </row>
    <row r="21" spans="1:8" ht="10.050000000000001" customHeight="1">
      <c r="A21" s="15">
        <v>13</v>
      </c>
      <c r="B21" s="77" t="s">
        <v>47</v>
      </c>
      <c r="C21" s="15"/>
      <c r="D21" s="75"/>
      <c r="E21" s="75"/>
      <c r="F21" s="75"/>
      <c r="G21" s="15"/>
      <c r="H21" s="15"/>
    </row>
    <row r="22" spans="1:8" ht="10.050000000000001" customHeight="1">
      <c r="A22" s="15">
        <v>14</v>
      </c>
      <c r="B22" s="79" t="s">
        <v>104</v>
      </c>
      <c r="C22" s="15"/>
      <c r="D22" s="75"/>
      <c r="E22" s="75"/>
      <c r="F22" s="75"/>
      <c r="G22" s="15"/>
      <c r="H22" s="15"/>
    </row>
    <row r="23" spans="1:8" ht="10.050000000000001" customHeight="1">
      <c r="A23" s="15">
        <v>15</v>
      </c>
      <c r="B23" s="77" t="s">
        <v>62</v>
      </c>
      <c r="C23" s="15"/>
      <c r="D23" s="75"/>
      <c r="E23" s="75"/>
      <c r="F23" s="75"/>
      <c r="G23" s="15"/>
      <c r="H23" s="15"/>
    </row>
    <row r="24" spans="1:8" ht="10.050000000000001" customHeight="1">
      <c r="A24" s="15">
        <v>16</v>
      </c>
      <c r="B24" s="77" t="s">
        <v>114</v>
      </c>
      <c r="C24" s="15"/>
      <c r="D24" s="75"/>
      <c r="E24" s="75"/>
      <c r="F24" s="75"/>
      <c r="G24" s="15"/>
      <c r="H24" s="15"/>
    </row>
    <row r="25" spans="1:8" ht="10.050000000000001" customHeight="1">
      <c r="A25" s="15">
        <v>17</v>
      </c>
      <c r="B25" s="79" t="s">
        <v>107</v>
      </c>
      <c r="C25" s="15"/>
      <c r="D25" s="75"/>
      <c r="E25" s="75"/>
      <c r="F25" s="75"/>
      <c r="G25" s="15"/>
      <c r="H25" s="15"/>
    </row>
    <row r="26" spans="1:8" ht="10.050000000000001" customHeight="1">
      <c r="A26" s="15">
        <v>18</v>
      </c>
      <c r="B26" s="77" t="s">
        <v>115</v>
      </c>
      <c r="C26" s="15"/>
      <c r="D26" s="75"/>
      <c r="E26" s="75"/>
      <c r="F26" s="75"/>
      <c r="G26" s="15"/>
      <c r="H26" s="15"/>
    </row>
    <row r="27" spans="1:8" ht="10.050000000000001" customHeight="1">
      <c r="A27" s="15">
        <v>19</v>
      </c>
      <c r="B27" s="77" t="s">
        <v>36</v>
      </c>
      <c r="C27" s="15"/>
      <c r="D27" s="75"/>
      <c r="E27" s="75"/>
      <c r="F27" s="75"/>
      <c r="G27" s="15"/>
      <c r="H27" s="15"/>
    </row>
    <row r="28" spans="1:8" ht="10.050000000000001" customHeight="1">
      <c r="A28" s="15">
        <v>20</v>
      </c>
      <c r="B28" s="77" t="s">
        <v>61</v>
      </c>
      <c r="C28" s="15"/>
      <c r="D28" s="75"/>
      <c r="E28" s="75"/>
      <c r="F28" s="75"/>
      <c r="G28" s="15"/>
      <c r="H28" s="15"/>
    </row>
    <row r="29" spans="1:8" ht="10.050000000000001" customHeight="1">
      <c r="A29" s="15">
        <v>21</v>
      </c>
      <c r="B29" s="77" t="s">
        <v>75</v>
      </c>
      <c r="C29" s="15"/>
      <c r="D29" s="75"/>
      <c r="E29" s="75"/>
      <c r="F29" s="75"/>
      <c r="G29" s="15"/>
      <c r="H29" s="15"/>
    </row>
    <row r="30" spans="1:8" ht="10.050000000000001" customHeight="1">
      <c r="A30" s="15">
        <v>22</v>
      </c>
      <c r="B30" s="77" t="s">
        <v>59</v>
      </c>
      <c r="C30" s="15"/>
      <c r="D30" s="75"/>
      <c r="E30" s="75"/>
      <c r="F30" s="75"/>
      <c r="G30" s="15"/>
      <c r="H30" s="15"/>
    </row>
    <row r="31" spans="1:8" ht="10.050000000000001" customHeight="1">
      <c r="A31" s="15">
        <v>23</v>
      </c>
      <c r="B31" s="77" t="s">
        <v>60</v>
      </c>
      <c r="C31" s="15"/>
      <c r="D31" s="75"/>
      <c r="E31" s="75"/>
      <c r="F31" s="75"/>
      <c r="G31" s="15"/>
      <c r="H31" s="15"/>
    </row>
    <row r="32" spans="1:8" ht="10.050000000000001" customHeight="1">
      <c r="A32" s="15">
        <v>24</v>
      </c>
      <c r="B32" s="77" t="s">
        <v>54</v>
      </c>
      <c r="C32" s="15"/>
      <c r="D32" s="75"/>
      <c r="E32" s="75"/>
      <c r="F32" s="75"/>
      <c r="G32" s="15"/>
      <c r="H32" s="15"/>
    </row>
    <row r="33" spans="1:8" ht="10.050000000000001" customHeight="1">
      <c r="A33" s="15">
        <v>25</v>
      </c>
      <c r="B33" s="77" t="s">
        <v>55</v>
      </c>
      <c r="C33" s="15"/>
      <c r="D33" s="75"/>
      <c r="E33" s="75"/>
      <c r="F33" s="75"/>
      <c r="G33" s="15"/>
      <c r="H33" s="15"/>
    </row>
    <row r="34" spans="1:8" ht="10.050000000000001" customHeight="1">
      <c r="A34" s="15">
        <v>26</v>
      </c>
      <c r="B34" s="77" t="s">
        <v>56</v>
      </c>
      <c r="C34" s="15"/>
      <c r="D34" s="75"/>
      <c r="E34" s="75"/>
      <c r="F34" s="75"/>
      <c r="G34" s="15"/>
      <c r="H34" s="15"/>
    </row>
    <row r="35" spans="1:8" ht="10.050000000000001" customHeight="1">
      <c r="A35" s="15">
        <v>27</v>
      </c>
      <c r="B35" s="77" t="s">
        <v>86</v>
      </c>
      <c r="C35" s="15"/>
      <c r="D35" s="75"/>
      <c r="E35" s="75"/>
      <c r="F35" s="75"/>
      <c r="G35" s="15"/>
      <c r="H35" s="15"/>
    </row>
    <row r="36" spans="1:8" ht="10.050000000000001" customHeight="1">
      <c r="A36" s="15">
        <v>28</v>
      </c>
      <c r="B36" s="77" t="s">
        <v>57</v>
      </c>
      <c r="C36" s="15"/>
      <c r="D36" s="75"/>
      <c r="E36" s="75"/>
      <c r="F36" s="75"/>
      <c r="G36" s="15"/>
      <c r="H36" s="15"/>
    </row>
    <row r="37" spans="1:8" ht="10.050000000000001" customHeight="1">
      <c r="A37" s="15">
        <v>29</v>
      </c>
      <c r="B37" s="77" t="s">
        <v>58</v>
      </c>
      <c r="C37" s="76"/>
      <c r="D37" s="75"/>
      <c r="E37" s="75"/>
      <c r="F37" s="75"/>
      <c r="G37" s="15"/>
      <c r="H37" s="15"/>
    </row>
    <row r="38" spans="1:8" ht="10.050000000000001" customHeight="1">
      <c r="A38" s="15">
        <v>30</v>
      </c>
      <c r="B38" s="77" t="s">
        <v>51</v>
      </c>
      <c r="C38" s="15"/>
      <c r="D38" s="75"/>
      <c r="E38" s="75"/>
      <c r="F38" s="75"/>
      <c r="G38" s="15"/>
      <c r="H38" s="15"/>
    </row>
    <row r="39" spans="1:8" ht="10.050000000000001" customHeight="1">
      <c r="A39" s="15">
        <v>31</v>
      </c>
      <c r="B39" s="77" t="s">
        <v>78</v>
      </c>
      <c r="C39" s="15"/>
      <c r="D39" s="75"/>
      <c r="E39" s="75"/>
      <c r="F39" s="75"/>
      <c r="G39" s="15"/>
      <c r="H39" s="15"/>
    </row>
    <row r="40" spans="1:8" ht="10.050000000000001" customHeight="1">
      <c r="A40" s="15">
        <v>32</v>
      </c>
      <c r="B40" s="77" t="s">
        <v>50</v>
      </c>
      <c r="C40" s="15"/>
      <c r="D40" s="75"/>
      <c r="E40" s="75"/>
      <c r="F40" s="75"/>
      <c r="G40" s="15"/>
      <c r="H40" s="15"/>
    </row>
    <row r="41" spans="1:8" ht="10.050000000000001" customHeight="1">
      <c r="A41" s="15">
        <v>33</v>
      </c>
      <c r="B41" s="77" t="s">
        <v>49</v>
      </c>
      <c r="C41" s="15"/>
      <c r="D41" s="75"/>
      <c r="E41" s="75"/>
      <c r="F41" s="75"/>
      <c r="G41" s="15"/>
      <c r="H41" s="15"/>
    </row>
    <row r="42" spans="1:8" ht="10.050000000000001" customHeight="1">
      <c r="A42" s="15">
        <v>34</v>
      </c>
      <c r="B42" s="77" t="s">
        <v>52</v>
      </c>
      <c r="C42" s="76"/>
      <c r="D42" s="75"/>
      <c r="E42" s="75"/>
      <c r="F42" s="75"/>
      <c r="G42" s="15"/>
      <c r="H42" s="15"/>
    </row>
    <row r="43" spans="1:8" ht="10.050000000000001" customHeight="1">
      <c r="A43" s="15">
        <v>35</v>
      </c>
      <c r="B43" s="77" t="s">
        <v>88</v>
      </c>
      <c r="C43" s="15"/>
      <c r="D43" s="75"/>
      <c r="E43" s="75"/>
      <c r="F43" s="75"/>
      <c r="G43" s="15"/>
      <c r="H43" s="15"/>
    </row>
    <row r="44" spans="1:8" ht="10.050000000000001" customHeight="1">
      <c r="A44" s="15">
        <v>36</v>
      </c>
      <c r="B44" s="77" t="s">
        <v>53</v>
      </c>
      <c r="C44" s="15"/>
      <c r="D44" s="75"/>
      <c r="E44" s="75"/>
      <c r="F44" s="75"/>
      <c r="G44" s="15"/>
      <c r="H44" s="15"/>
    </row>
    <row r="45" spans="1:8" ht="10.050000000000001" customHeight="1">
      <c r="A45" s="15">
        <v>37</v>
      </c>
      <c r="B45" s="80" t="s">
        <v>72</v>
      </c>
      <c r="C45" s="15"/>
      <c r="D45" s="75"/>
      <c r="E45" s="75"/>
      <c r="F45" s="75"/>
      <c r="G45" s="15"/>
      <c r="H45" s="15"/>
    </row>
    <row r="46" spans="1:8" ht="10.050000000000001" customHeight="1">
      <c r="A46" s="15">
        <v>38</v>
      </c>
      <c r="B46" s="77" t="s">
        <v>96</v>
      </c>
      <c r="C46" s="15"/>
      <c r="D46" s="75"/>
      <c r="E46" s="75"/>
      <c r="F46" s="75"/>
      <c r="G46" s="15"/>
      <c r="H46" s="15"/>
    </row>
    <row r="47" spans="1:8" ht="10.050000000000001" customHeight="1">
      <c r="A47" s="15">
        <v>39</v>
      </c>
      <c r="B47" s="77" t="s">
        <v>37</v>
      </c>
      <c r="C47" s="15"/>
      <c r="D47" s="75"/>
      <c r="E47" s="75"/>
      <c r="F47" s="75"/>
      <c r="G47" s="15"/>
      <c r="H47" s="15"/>
    </row>
    <row r="48" spans="1:8" ht="10.050000000000001" customHeight="1">
      <c r="A48" s="15">
        <v>40</v>
      </c>
      <c r="B48" s="77" t="s">
        <v>113</v>
      </c>
      <c r="C48" s="15"/>
      <c r="D48" s="75"/>
      <c r="E48" s="75"/>
      <c r="F48" s="75"/>
      <c r="G48" s="15"/>
      <c r="H48" s="15"/>
    </row>
    <row r="49" spans="1:8" ht="10.050000000000001" customHeight="1">
      <c r="A49" s="15">
        <v>41</v>
      </c>
      <c r="B49" s="77" t="s">
        <v>97</v>
      </c>
      <c r="C49" s="15"/>
      <c r="D49" s="75"/>
      <c r="E49" s="75"/>
      <c r="F49" s="75"/>
      <c r="G49" s="15"/>
      <c r="H49" s="15"/>
    </row>
    <row r="50" spans="1:8" ht="10.050000000000001" customHeight="1">
      <c r="A50" s="15">
        <v>42</v>
      </c>
      <c r="B50" s="77" t="s">
        <v>70</v>
      </c>
      <c r="C50" s="15"/>
      <c r="D50" s="75"/>
      <c r="E50" s="75"/>
      <c r="F50" s="75"/>
      <c r="G50" s="15"/>
      <c r="H50" s="15"/>
    </row>
    <row r="51" spans="1:8" ht="10.050000000000001" customHeight="1">
      <c r="A51" s="15">
        <v>43</v>
      </c>
      <c r="B51" s="77" t="s">
        <v>34</v>
      </c>
      <c r="C51" s="15"/>
      <c r="D51" s="75"/>
      <c r="E51" s="75"/>
      <c r="F51" s="75"/>
      <c r="G51" s="15"/>
      <c r="H51" s="15"/>
    </row>
    <row r="52" spans="1:8" ht="10.050000000000001" customHeight="1">
      <c r="A52" s="15">
        <v>44</v>
      </c>
      <c r="B52" s="77" t="s">
        <v>35</v>
      </c>
      <c r="C52" s="15"/>
      <c r="D52" s="75"/>
      <c r="E52" s="75"/>
      <c r="F52" s="75"/>
      <c r="G52" s="15"/>
      <c r="H52" s="15"/>
    </row>
    <row r="53" spans="1:8" ht="10.050000000000001" customHeight="1">
      <c r="A53" s="15">
        <v>45</v>
      </c>
      <c r="B53" s="77" t="s">
        <v>30</v>
      </c>
      <c r="C53" s="15"/>
      <c r="D53" s="75"/>
      <c r="E53" s="75"/>
      <c r="F53" s="75"/>
      <c r="G53" s="15"/>
      <c r="H53" s="15"/>
    </row>
    <row r="54" spans="1:8" ht="10.050000000000001" customHeight="1">
      <c r="A54" s="15">
        <v>46</v>
      </c>
      <c r="B54" s="77" t="s">
        <v>31</v>
      </c>
      <c r="C54" s="15"/>
      <c r="D54" s="75"/>
      <c r="E54" s="75"/>
      <c r="F54" s="75"/>
      <c r="G54" s="15"/>
      <c r="H54" s="15"/>
    </row>
    <row r="55" spans="1:8" ht="10.050000000000001" customHeight="1">
      <c r="A55" s="15">
        <v>47</v>
      </c>
      <c r="B55" s="77" t="s">
        <v>32</v>
      </c>
      <c r="C55" s="15"/>
      <c r="D55" s="75"/>
      <c r="E55" s="75"/>
      <c r="F55" s="75"/>
      <c r="G55" s="15"/>
      <c r="H55" s="15"/>
    </row>
    <row r="56" spans="1:8" ht="10.050000000000001" customHeight="1">
      <c r="A56" s="15">
        <v>48</v>
      </c>
      <c r="B56" s="77" t="s">
        <v>33</v>
      </c>
      <c r="C56" s="15"/>
      <c r="D56" s="75"/>
      <c r="E56" s="75"/>
      <c r="F56" s="75"/>
      <c r="G56" s="15"/>
      <c r="H56" s="15"/>
    </row>
    <row r="57" spans="1:8" ht="10.050000000000001" customHeight="1">
      <c r="A57" s="15">
        <v>49</v>
      </c>
      <c r="B57" s="77" t="s">
        <v>79</v>
      </c>
      <c r="C57" s="15"/>
      <c r="D57" s="75"/>
      <c r="E57" s="75"/>
      <c r="F57" s="75"/>
      <c r="G57" s="15"/>
      <c r="H57" s="15"/>
    </row>
    <row r="58" spans="1:8" ht="10.050000000000001" customHeight="1">
      <c r="A58" s="15">
        <v>50</v>
      </c>
      <c r="B58" s="77" t="s">
        <v>80</v>
      </c>
      <c r="C58" s="15"/>
      <c r="D58" s="75"/>
      <c r="E58" s="75"/>
      <c r="F58" s="75"/>
      <c r="G58" s="15"/>
      <c r="H58" s="15"/>
    </row>
    <row r="59" spans="1:8" ht="10.050000000000001" customHeight="1">
      <c r="A59" s="15">
        <v>51</v>
      </c>
      <c r="B59" s="77" t="s">
        <v>48</v>
      </c>
      <c r="C59" s="15"/>
      <c r="D59" s="75"/>
      <c r="E59" s="75"/>
      <c r="F59" s="75"/>
      <c r="G59" s="15"/>
      <c r="H59" s="15"/>
    </row>
    <row r="60" spans="1:8" ht="10.050000000000001" customHeight="1">
      <c r="A60" s="15">
        <v>52</v>
      </c>
      <c r="B60" s="77" t="s">
        <v>77</v>
      </c>
      <c r="C60" s="15"/>
      <c r="D60" s="75"/>
      <c r="E60" s="75"/>
      <c r="F60" s="75"/>
      <c r="G60" s="15"/>
      <c r="H60" s="15"/>
    </row>
    <row r="61" spans="1:8" ht="10.050000000000001" customHeight="1">
      <c r="A61" s="15">
        <v>53</v>
      </c>
      <c r="B61" s="77" t="s">
        <v>27</v>
      </c>
      <c r="C61" s="15"/>
      <c r="D61" s="75"/>
      <c r="E61" s="75"/>
      <c r="F61" s="75"/>
      <c r="G61" s="15"/>
      <c r="H61" s="15"/>
    </row>
    <row r="62" spans="1:8" ht="10.050000000000001" customHeight="1">
      <c r="A62" s="15">
        <v>54</v>
      </c>
      <c r="B62" s="77" t="s">
        <v>28</v>
      </c>
      <c r="C62" s="15"/>
      <c r="D62" s="75"/>
      <c r="E62" s="75"/>
      <c r="F62" s="75"/>
      <c r="G62" s="15"/>
      <c r="H62" s="15"/>
    </row>
    <row r="63" spans="1:8" ht="10.050000000000001" customHeight="1">
      <c r="A63" s="15">
        <v>55</v>
      </c>
      <c r="B63" s="77" t="s">
        <v>29</v>
      </c>
      <c r="C63" s="15"/>
      <c r="D63" s="75"/>
      <c r="E63" s="75"/>
      <c r="F63" s="75"/>
      <c r="G63" s="15"/>
      <c r="H63" s="15"/>
    </row>
    <row r="64" spans="1:8" ht="10.050000000000001" customHeight="1">
      <c r="A64" s="15">
        <v>56</v>
      </c>
      <c r="B64" s="77" t="s">
        <v>39</v>
      </c>
      <c r="C64" s="15"/>
      <c r="D64" s="75"/>
      <c r="E64" s="75"/>
      <c r="F64" s="75"/>
      <c r="G64" s="15"/>
      <c r="H64" s="15"/>
    </row>
    <row r="65" spans="1:17" ht="10.050000000000001" customHeight="1">
      <c r="A65" s="15">
        <v>57</v>
      </c>
      <c r="B65" s="77" t="s">
        <v>40</v>
      </c>
      <c r="C65" s="15"/>
      <c r="D65" s="75"/>
      <c r="E65" s="75"/>
      <c r="F65" s="75"/>
      <c r="G65" s="15"/>
      <c r="H65" s="15"/>
    </row>
    <row r="66" spans="1:17" ht="10.050000000000001" customHeight="1">
      <c r="A66" s="15">
        <v>58</v>
      </c>
      <c r="B66" s="77" t="s">
        <v>41</v>
      </c>
      <c r="C66" s="15"/>
      <c r="D66" s="75"/>
      <c r="E66" s="75"/>
      <c r="F66" s="75"/>
      <c r="G66" s="15"/>
      <c r="H66" s="15"/>
    </row>
    <row r="67" spans="1:17" ht="10.050000000000001" customHeight="1">
      <c r="A67" s="15">
        <v>59</v>
      </c>
      <c r="B67" s="77" t="s">
        <v>42</v>
      </c>
      <c r="C67" s="15"/>
      <c r="D67" s="75"/>
      <c r="E67" s="75"/>
      <c r="F67" s="75"/>
      <c r="G67" s="15"/>
      <c r="H67" s="15"/>
    </row>
    <row r="68" spans="1:17" ht="10.050000000000001" customHeight="1">
      <c r="A68" s="15">
        <v>60</v>
      </c>
      <c r="B68" s="81" t="s">
        <v>65</v>
      </c>
      <c r="C68" s="15"/>
      <c r="D68" s="75"/>
      <c r="E68" s="75"/>
      <c r="F68" s="75"/>
      <c r="G68" s="15"/>
      <c r="H68" s="15"/>
    </row>
    <row r="69" spans="1:17" ht="10.050000000000001" customHeight="1">
      <c r="A69" s="15">
        <v>61</v>
      </c>
      <c r="B69" s="77" t="s">
        <v>43</v>
      </c>
      <c r="C69" s="15" t="e">
        <f>#REF!+#REF!+#REF!+#REF!+#REF!+#REF!+#REF!+#REF!+#REF!+#REF!+#REF!+#REF!+#REF!+#REF!</f>
        <v>#REF!</v>
      </c>
      <c r="D69" s="15" t="e">
        <f>#REF!+#REF!+#REF!+#REF!+#REF!+#REF!+#REF!+#REF!+#REF!+#REF!+#REF!+#REF!+#REF!+#REF!</f>
        <v>#REF!</v>
      </c>
      <c r="E69" s="15" t="e">
        <f>#REF!+#REF!+#REF!+#REF!+#REF!+#REF!+#REF!+#REF!+#REF!+#REF!+#REF!+#REF!+#REF!+#REF!</f>
        <v>#REF!</v>
      </c>
      <c r="F69" s="15" t="e">
        <f>#REF!+#REF!+#REF!+#REF!+#REF!+#REF!+#REF!+#REF!+#REF!+#REF!+#REF!+#REF!+#REF!+#REF!</f>
        <v>#REF!</v>
      </c>
      <c r="G69" s="15" t="e">
        <f>#REF!+#REF!+#REF!+#REF!+#REF!+#REF!+#REF!+#REF!+#REF!+#REF!+#REF!+#REF!+#REF!+#REF!</f>
        <v>#REF!</v>
      </c>
      <c r="H69" s="15" t="e">
        <f>#REF!+#REF!+#REF!+#REF!+#REF!+#REF!+#REF!+#REF!+#REF!+#REF!+#REF!+#REF!+#REF!+#REF!</f>
        <v>#REF!</v>
      </c>
      <c r="I69" s="15" t="e">
        <f>#REF!+#REF!+#REF!+#REF!+#REF!+#REF!+#REF!+#REF!+#REF!+#REF!+#REF!+#REF!+#REF!+#REF!</f>
        <v>#REF!</v>
      </c>
      <c r="J69" s="15" t="e">
        <f>#REF!+#REF!+#REF!+#REF!+#REF!+#REF!+#REF!+#REF!+#REF!+#REF!+#REF!+#REF!+#REF!+#REF!</f>
        <v>#REF!</v>
      </c>
      <c r="K69" s="15" t="e">
        <f>#REF!+#REF!+#REF!+#REF!+#REF!+#REF!+#REF!+#REF!+#REF!+#REF!+#REF!+#REF!+#REF!+#REF!</f>
        <v>#REF!</v>
      </c>
      <c r="L69" s="15" t="e">
        <f>#REF!+#REF!+#REF!+#REF!+#REF!+#REF!+#REF!+#REF!+#REF!+#REF!+#REF!+#REF!+#REF!+#REF!</f>
        <v>#REF!</v>
      </c>
      <c r="M69" s="15" t="e">
        <f>#REF!+#REF!+#REF!+#REF!+#REF!+#REF!+#REF!+#REF!+#REF!+#REF!+#REF!+#REF!+#REF!+#REF!</f>
        <v>#REF!</v>
      </c>
      <c r="N69" s="15" t="e">
        <f>#REF!+#REF!+#REF!+#REF!+#REF!+#REF!+#REF!+#REF!+#REF!+#REF!+#REF!+#REF!+#REF!+#REF!</f>
        <v>#REF!</v>
      </c>
      <c r="O69" s="15" t="e">
        <f>#REF!+#REF!+#REF!+#REF!+#REF!+#REF!+#REF!+#REF!+#REF!+#REF!+#REF!+#REF!+#REF!+#REF!</f>
        <v>#REF!</v>
      </c>
      <c r="P69" s="15" t="e">
        <f>#REF!+#REF!+#REF!+#REF!+#REF!+#REF!+#REF!+#REF!+#REF!+#REF!+#REF!+#REF!+#REF!+#REF!</f>
        <v>#REF!</v>
      </c>
      <c r="Q69" s="15" t="e">
        <f>#REF!+#REF!+#REF!+#REF!+#REF!+#REF!+#REF!+#REF!+#REF!+#REF!+#REF!+#REF!+#REF!+#REF!</f>
        <v>#REF!</v>
      </c>
    </row>
    <row r="70" spans="1:17" ht="10.050000000000001" customHeight="1">
      <c r="A70" s="15">
        <v>62</v>
      </c>
      <c r="B70" s="77" t="s">
        <v>63</v>
      </c>
      <c r="C70" s="15" t="e">
        <f>#REF!+#REF!+#REF!+#REF!+#REF!+#REF!+#REF!+#REF!+#REF!+#REF!+#REF!+#REF!+#REF!+#REF!</f>
        <v>#REF!</v>
      </c>
      <c r="D70" s="15" t="e">
        <f>#REF!+#REF!+#REF!+#REF!+#REF!+#REF!+#REF!+#REF!+#REF!+#REF!+#REF!+#REF!+#REF!+#REF!</f>
        <v>#REF!</v>
      </c>
      <c r="E70" s="15" t="e">
        <f>#REF!+#REF!+#REF!+#REF!+#REF!+#REF!+#REF!+#REF!+#REF!+#REF!+#REF!+#REF!+#REF!+#REF!</f>
        <v>#REF!</v>
      </c>
      <c r="F70" s="15" t="e">
        <f>#REF!+#REF!+#REF!+#REF!+#REF!+#REF!+#REF!+#REF!+#REF!+#REF!+#REF!+#REF!+#REF!+#REF!</f>
        <v>#REF!</v>
      </c>
      <c r="G70" s="15" t="e">
        <f>#REF!+#REF!+#REF!+#REF!+#REF!+#REF!+#REF!+#REF!+#REF!+#REF!+#REF!+#REF!+#REF!+#REF!</f>
        <v>#REF!</v>
      </c>
      <c r="H70" s="15" t="e">
        <f>#REF!+#REF!+#REF!+#REF!+#REF!+#REF!+#REF!+#REF!+#REF!+#REF!+#REF!+#REF!+#REF!+#REF!</f>
        <v>#REF!</v>
      </c>
      <c r="I70" s="15" t="e">
        <f>#REF!+#REF!+#REF!+#REF!+#REF!+#REF!+#REF!+#REF!+#REF!+#REF!+#REF!+#REF!+#REF!+#REF!</f>
        <v>#REF!</v>
      </c>
      <c r="J70" s="15" t="e">
        <f>#REF!+#REF!+#REF!+#REF!+#REF!+#REF!+#REF!+#REF!+#REF!+#REF!+#REF!+#REF!+#REF!+#REF!</f>
        <v>#REF!</v>
      </c>
      <c r="K70" s="15" t="e">
        <f>#REF!+#REF!+#REF!+#REF!+#REF!+#REF!+#REF!+#REF!+#REF!+#REF!+#REF!+#REF!+#REF!+#REF!</f>
        <v>#REF!</v>
      </c>
      <c r="L70" s="15" t="e">
        <f>#REF!+#REF!+#REF!+#REF!+#REF!+#REF!+#REF!+#REF!+#REF!+#REF!+#REF!+#REF!+#REF!+#REF!</f>
        <v>#REF!</v>
      </c>
      <c r="M70" s="15" t="e">
        <f>#REF!+#REF!+#REF!+#REF!+#REF!+#REF!+#REF!+#REF!+#REF!+#REF!+#REF!+#REF!+#REF!+#REF!</f>
        <v>#REF!</v>
      </c>
      <c r="N70" s="15" t="e">
        <f>#REF!+#REF!+#REF!+#REF!+#REF!+#REF!+#REF!+#REF!+#REF!+#REF!+#REF!+#REF!+#REF!+#REF!</f>
        <v>#REF!</v>
      </c>
      <c r="O70" s="15" t="e">
        <f>#REF!+#REF!+#REF!+#REF!+#REF!+#REF!+#REF!+#REF!+#REF!+#REF!+#REF!+#REF!+#REF!+#REF!</f>
        <v>#REF!</v>
      </c>
      <c r="P70" s="15" t="e">
        <f>#REF!+#REF!+#REF!+#REF!+#REF!+#REF!+#REF!+#REF!+#REF!+#REF!+#REF!+#REF!+#REF!+#REF!</f>
        <v>#REF!</v>
      </c>
      <c r="Q70" s="15" t="e">
        <f>#REF!+#REF!+#REF!+#REF!+#REF!+#REF!+#REF!+#REF!+#REF!+#REF!+#REF!+#REF!+#REF!+#REF!</f>
        <v>#REF!</v>
      </c>
    </row>
    <row r="71" spans="1:17" ht="10.050000000000001" customHeight="1">
      <c r="A71" s="15">
        <v>63</v>
      </c>
      <c r="B71" s="77" t="s">
        <v>44</v>
      </c>
      <c r="C71" s="15" t="e">
        <f>#REF!+#REF!+#REF!+#REF!+#REF!+#REF!+#REF!+#REF!+#REF!+#REF!+#REF!+#REF!+#REF!+#REF!</f>
        <v>#REF!</v>
      </c>
      <c r="D71" s="15" t="e">
        <f>#REF!+#REF!+#REF!+#REF!+#REF!+#REF!+#REF!+#REF!+#REF!+#REF!+#REF!+#REF!+#REF!+#REF!</f>
        <v>#REF!</v>
      </c>
      <c r="E71" s="15" t="e">
        <f>#REF!+#REF!+#REF!+#REF!+#REF!+#REF!+#REF!+#REF!+#REF!+#REF!+#REF!+#REF!+#REF!+#REF!</f>
        <v>#REF!</v>
      </c>
      <c r="F71" s="15" t="e">
        <f>#REF!+#REF!+#REF!+#REF!+#REF!+#REF!+#REF!+#REF!+#REF!+#REF!+#REF!+#REF!+#REF!+#REF!</f>
        <v>#REF!</v>
      </c>
      <c r="G71" s="15" t="e">
        <f>#REF!+#REF!+#REF!+#REF!+#REF!+#REF!+#REF!+#REF!+#REF!+#REF!+#REF!+#REF!+#REF!+#REF!</f>
        <v>#REF!</v>
      </c>
      <c r="H71" s="15" t="e">
        <f>#REF!+#REF!+#REF!+#REF!+#REF!+#REF!+#REF!+#REF!+#REF!+#REF!+#REF!+#REF!+#REF!+#REF!</f>
        <v>#REF!</v>
      </c>
      <c r="I71" s="15" t="e">
        <f>#REF!+#REF!+#REF!+#REF!+#REF!+#REF!+#REF!+#REF!+#REF!+#REF!+#REF!+#REF!+#REF!+#REF!</f>
        <v>#REF!</v>
      </c>
      <c r="J71" s="15" t="e">
        <f>#REF!+#REF!+#REF!+#REF!+#REF!+#REF!+#REF!+#REF!+#REF!+#REF!+#REF!+#REF!+#REF!+#REF!</f>
        <v>#REF!</v>
      </c>
      <c r="K71" s="15" t="e">
        <f>#REF!+#REF!+#REF!+#REF!+#REF!+#REF!+#REF!+#REF!+#REF!+#REF!+#REF!+#REF!+#REF!+#REF!</f>
        <v>#REF!</v>
      </c>
      <c r="L71" s="15" t="e">
        <f>#REF!+#REF!+#REF!+#REF!+#REF!+#REF!+#REF!+#REF!+#REF!+#REF!+#REF!+#REF!+#REF!+#REF!</f>
        <v>#REF!</v>
      </c>
      <c r="M71" s="15" t="e">
        <f>#REF!+#REF!+#REF!+#REF!+#REF!+#REF!+#REF!+#REF!+#REF!+#REF!+#REF!+#REF!+#REF!+#REF!</f>
        <v>#REF!</v>
      </c>
      <c r="N71" s="15" t="e">
        <f>#REF!+#REF!+#REF!+#REF!+#REF!+#REF!+#REF!+#REF!+#REF!+#REF!+#REF!+#REF!+#REF!+#REF!</f>
        <v>#REF!</v>
      </c>
      <c r="O71" s="15" t="e">
        <f>#REF!+#REF!+#REF!+#REF!+#REF!+#REF!+#REF!+#REF!+#REF!+#REF!+#REF!+#REF!+#REF!+#REF!</f>
        <v>#REF!</v>
      </c>
      <c r="P71" s="15" t="e">
        <f>#REF!+#REF!+#REF!+#REF!+#REF!+#REF!+#REF!+#REF!+#REF!+#REF!+#REF!+#REF!+#REF!+#REF!</f>
        <v>#REF!</v>
      </c>
      <c r="Q71" s="15" t="e">
        <f>#REF!+#REF!+#REF!+#REF!+#REF!+#REF!+#REF!+#REF!+#REF!+#REF!+#REF!+#REF!+#REF!+#REF!</f>
        <v>#REF!</v>
      </c>
    </row>
    <row r="72" spans="1:17" ht="10.050000000000001" customHeight="1">
      <c r="A72" s="15">
        <v>64</v>
      </c>
      <c r="B72" s="77" t="s">
        <v>45</v>
      </c>
      <c r="C72" s="15" t="e">
        <f>#REF!+#REF!+#REF!+#REF!+#REF!+#REF!+#REF!+#REF!+#REF!+#REF!+#REF!+#REF!+#REF!+#REF!</f>
        <v>#REF!</v>
      </c>
      <c r="D72" s="15" t="e">
        <f>#REF!+#REF!+#REF!+#REF!+#REF!+#REF!+#REF!+#REF!+#REF!+#REF!+#REF!+#REF!+#REF!+#REF!</f>
        <v>#REF!</v>
      </c>
      <c r="E72" s="15" t="e">
        <f>#REF!+#REF!+#REF!+#REF!+#REF!+#REF!+#REF!+#REF!+#REF!+#REF!+#REF!+#REF!+#REF!+#REF!</f>
        <v>#REF!</v>
      </c>
      <c r="F72" s="15" t="e">
        <f>#REF!+#REF!+#REF!+#REF!+#REF!+#REF!+#REF!+#REF!+#REF!+#REF!+#REF!+#REF!+#REF!+#REF!</f>
        <v>#REF!</v>
      </c>
      <c r="G72" s="15" t="e">
        <f>#REF!+#REF!+#REF!+#REF!+#REF!+#REF!+#REF!+#REF!+#REF!+#REF!+#REF!+#REF!+#REF!+#REF!</f>
        <v>#REF!</v>
      </c>
      <c r="H72" s="15" t="e">
        <f>#REF!+#REF!+#REF!+#REF!+#REF!+#REF!+#REF!+#REF!+#REF!+#REF!+#REF!+#REF!+#REF!+#REF!</f>
        <v>#REF!</v>
      </c>
      <c r="I72" s="15" t="e">
        <f>#REF!+#REF!+#REF!+#REF!+#REF!+#REF!+#REF!+#REF!+#REF!+#REF!+#REF!+#REF!+#REF!+#REF!</f>
        <v>#REF!</v>
      </c>
      <c r="J72" s="15" t="e">
        <f>#REF!+#REF!+#REF!+#REF!+#REF!+#REF!+#REF!+#REF!+#REF!+#REF!+#REF!+#REF!+#REF!+#REF!</f>
        <v>#REF!</v>
      </c>
      <c r="K72" s="15" t="e">
        <f>#REF!+#REF!+#REF!+#REF!+#REF!+#REF!+#REF!+#REF!+#REF!+#REF!+#REF!+#REF!+#REF!+#REF!</f>
        <v>#REF!</v>
      </c>
      <c r="L72" s="15" t="e">
        <f>#REF!+#REF!+#REF!+#REF!+#REF!+#REF!+#REF!+#REF!+#REF!+#REF!+#REF!+#REF!+#REF!+#REF!</f>
        <v>#REF!</v>
      </c>
      <c r="M72" s="15" t="e">
        <f>#REF!+#REF!+#REF!+#REF!+#REF!+#REF!+#REF!+#REF!+#REF!+#REF!+#REF!+#REF!+#REF!+#REF!</f>
        <v>#REF!</v>
      </c>
      <c r="N72" s="15" t="e">
        <f>#REF!+#REF!+#REF!+#REF!+#REF!+#REF!+#REF!+#REF!+#REF!+#REF!+#REF!+#REF!+#REF!+#REF!</f>
        <v>#REF!</v>
      </c>
      <c r="O72" s="15" t="e">
        <f>#REF!+#REF!+#REF!+#REF!+#REF!+#REF!+#REF!+#REF!+#REF!+#REF!+#REF!+#REF!+#REF!+#REF!</f>
        <v>#REF!</v>
      </c>
      <c r="P72" s="15" t="e">
        <f>#REF!+#REF!+#REF!+#REF!+#REF!+#REF!+#REF!+#REF!+#REF!+#REF!+#REF!+#REF!+#REF!+#REF!</f>
        <v>#REF!</v>
      </c>
      <c r="Q72" s="15" t="e">
        <f>#REF!+#REF!+#REF!+#REF!+#REF!+#REF!+#REF!+#REF!+#REF!+#REF!+#REF!+#REF!+#REF!+#REF!</f>
        <v>#REF!</v>
      </c>
    </row>
    <row r="73" spans="1:17" ht="10.050000000000001" customHeight="1">
      <c r="A73" s="15">
        <v>65</v>
      </c>
      <c r="B73" s="77" t="s">
        <v>46</v>
      </c>
      <c r="C73" s="15" t="e">
        <f>#REF!+#REF!+#REF!+#REF!+#REF!+#REF!+#REF!+#REF!+#REF!+#REF!+#REF!+#REF!+#REF!+#REF!</f>
        <v>#REF!</v>
      </c>
      <c r="D73" s="15" t="e">
        <f>#REF!+#REF!+#REF!+#REF!+#REF!+#REF!+#REF!+#REF!+#REF!+#REF!+#REF!+#REF!+#REF!+#REF!</f>
        <v>#REF!</v>
      </c>
      <c r="E73" s="15" t="e">
        <f>#REF!+#REF!+#REF!+#REF!+#REF!+#REF!+#REF!+#REF!+#REF!+#REF!+#REF!+#REF!+#REF!+#REF!</f>
        <v>#REF!</v>
      </c>
      <c r="F73" s="15" t="e">
        <f>#REF!+#REF!+#REF!+#REF!+#REF!+#REF!+#REF!+#REF!+#REF!+#REF!+#REF!+#REF!+#REF!+#REF!</f>
        <v>#REF!</v>
      </c>
      <c r="G73" s="15" t="e">
        <f>#REF!+#REF!+#REF!+#REF!+#REF!+#REF!+#REF!+#REF!+#REF!+#REF!+#REF!+#REF!+#REF!+#REF!</f>
        <v>#REF!</v>
      </c>
      <c r="H73" s="15" t="e">
        <f>#REF!+#REF!+#REF!+#REF!+#REF!+#REF!+#REF!+#REF!+#REF!+#REF!+#REF!+#REF!+#REF!+#REF!</f>
        <v>#REF!</v>
      </c>
      <c r="I73" s="15" t="e">
        <f>#REF!+#REF!+#REF!+#REF!+#REF!+#REF!+#REF!+#REF!+#REF!+#REF!+#REF!+#REF!+#REF!+#REF!</f>
        <v>#REF!</v>
      </c>
      <c r="J73" s="15" t="e">
        <f>#REF!+#REF!+#REF!+#REF!+#REF!+#REF!+#REF!+#REF!+#REF!+#REF!+#REF!+#REF!+#REF!+#REF!</f>
        <v>#REF!</v>
      </c>
      <c r="K73" s="15" t="e">
        <f>#REF!+#REF!+#REF!+#REF!+#REF!+#REF!+#REF!+#REF!+#REF!+#REF!+#REF!+#REF!+#REF!+#REF!</f>
        <v>#REF!</v>
      </c>
      <c r="L73" s="15" t="e">
        <f>#REF!+#REF!+#REF!+#REF!+#REF!+#REF!+#REF!+#REF!+#REF!+#REF!+#REF!+#REF!+#REF!+#REF!</f>
        <v>#REF!</v>
      </c>
      <c r="M73" s="15" t="e">
        <f>#REF!+#REF!+#REF!+#REF!+#REF!+#REF!+#REF!+#REF!+#REF!+#REF!+#REF!+#REF!+#REF!+#REF!</f>
        <v>#REF!</v>
      </c>
      <c r="N73" s="15" t="e">
        <f>#REF!+#REF!+#REF!+#REF!+#REF!+#REF!+#REF!+#REF!+#REF!+#REF!+#REF!+#REF!+#REF!+#REF!</f>
        <v>#REF!</v>
      </c>
      <c r="O73" s="15" t="e">
        <f>#REF!+#REF!+#REF!+#REF!+#REF!+#REF!+#REF!+#REF!+#REF!+#REF!+#REF!+#REF!+#REF!+#REF!</f>
        <v>#REF!</v>
      </c>
      <c r="P73" s="15" t="e">
        <f>#REF!+#REF!+#REF!+#REF!+#REF!+#REF!+#REF!+#REF!+#REF!+#REF!+#REF!+#REF!+#REF!+#REF!</f>
        <v>#REF!</v>
      </c>
      <c r="Q73" s="15" t="e">
        <f>#REF!+#REF!+#REF!+#REF!+#REF!+#REF!+#REF!+#REF!+#REF!+#REF!+#REF!+#REF!+#REF!+#REF!</f>
        <v>#REF!</v>
      </c>
    </row>
    <row r="74" spans="1:17" ht="10.050000000000001" customHeight="1">
      <c r="A74" s="15"/>
      <c r="B74" s="79"/>
      <c r="C74" s="15"/>
      <c r="D74" s="15"/>
      <c r="E74" s="15"/>
      <c r="F74" s="15"/>
      <c r="G74" s="15"/>
      <c r="H74" s="15"/>
      <c r="N74" s="15" t="e">
        <f>#REF!+#REF!+#REF!+#REF!+#REF!+#REF!+#REF!+#REF!+#REF!+#REF!+#REF!+#REF!+#REF!+#REF!+#REF!</f>
        <v>#REF!</v>
      </c>
      <c r="O74" s="15" t="e">
        <f>#REF!+#REF!+#REF!+#REF!+#REF!+#REF!+#REF!+#REF!+#REF!+#REF!+#REF!+#REF!+#REF!+#REF!+#REF!</f>
        <v>#REF!</v>
      </c>
      <c r="P74" s="15" t="e">
        <f>#REF!+#REF!+#REF!+#REF!+#REF!+#REF!+#REF!+#REF!+#REF!+#REF!+#REF!+#REF!+#REF!+#REF!+#REF!</f>
        <v>#REF!</v>
      </c>
      <c r="Q74" s="15" t="e">
        <f>#REF!+#REF!+#REF!+#REF!+#REF!+#REF!+#REF!+#REF!+#REF!+#REF!+#REF!+#REF!+#REF!+#REF!+#REF!</f>
        <v>#REF!</v>
      </c>
    </row>
    <row r="76" spans="1:17">
      <c r="C76" t="e">
        <f>SUM(C69:C75)</f>
        <v>#REF!</v>
      </c>
      <c r="Q76" t="e">
        <f>SUM(Q69:Q75)</f>
        <v>#REF!</v>
      </c>
    </row>
  </sheetData>
  <mergeCells count="12">
    <mergeCell ref="A6:B6"/>
    <mergeCell ref="A2:H2"/>
    <mergeCell ref="A3:H3"/>
    <mergeCell ref="A4:H4"/>
    <mergeCell ref="B7:B8"/>
    <mergeCell ref="C7:C8"/>
    <mergeCell ref="D7:D8"/>
    <mergeCell ref="G7:G8"/>
    <mergeCell ref="A7:A8"/>
    <mergeCell ref="H7:H8"/>
    <mergeCell ref="E7:E8"/>
    <mergeCell ref="F7:F8"/>
  </mergeCells>
  <pageMargins left="0.95" right="0.7" top="0.25" bottom="0.2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P73" sqref="P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153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154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17600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17600</v>
      </c>
      <c r="T7" s="34">
        <v>-9150</v>
      </c>
      <c r="U7" s="6">
        <f>S7+T7</f>
        <v>8450</v>
      </c>
      <c r="V7" s="52"/>
      <c r="W7" s="57"/>
      <c r="X7" s="46"/>
      <c r="Y7" s="65"/>
      <c r="Z7" s="66">
        <f>W7-S7</f>
        <v>-17600</v>
      </c>
      <c r="AA7" s="65"/>
      <c r="AB7" s="67"/>
      <c r="AC7" s="65"/>
      <c r="AD7" s="47"/>
      <c r="AE7" s="61"/>
      <c r="AF7" s="52">
        <f>SUM(Y7:AE7)</f>
        <v>-17600</v>
      </c>
      <c r="AG7" s="46">
        <f>U7+AF7</f>
        <v>-9150</v>
      </c>
      <c r="AH7" s="51">
        <f>AG7-S7</f>
        <v>-26750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31200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/>
      <c r="S8" s="6">
        <f t="shared" ref="S8:S71" si="1">C8+D8-R8</f>
        <v>31200</v>
      </c>
      <c r="T8" s="6">
        <v>-24350</v>
      </c>
      <c r="U8" s="6">
        <f t="shared" ref="U8:U71" si="2">S8+T8</f>
        <v>6850</v>
      </c>
      <c r="V8" s="52"/>
      <c r="W8" s="57"/>
      <c r="X8" s="46"/>
      <c r="Y8" s="61"/>
      <c r="Z8" s="66">
        <f t="shared" ref="Z8:Z71" si="3">W8-S8</f>
        <v>-31200</v>
      </c>
      <c r="AA8" s="61"/>
      <c r="AB8" s="67"/>
      <c r="AC8" s="61"/>
      <c r="AD8" s="66"/>
      <c r="AE8" s="61"/>
      <c r="AF8" s="52">
        <f t="shared" ref="AF8:AF71" si="4">SUM(Y8:AE8)</f>
        <v>-31200</v>
      </c>
      <c r="AG8" s="46">
        <f t="shared" ref="AG8:AG71" si="5">U8+AF8</f>
        <v>-24350</v>
      </c>
      <c r="AH8" s="51">
        <f t="shared" ref="AH8:AH71" si="6">AG8-S8</f>
        <v>-55550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5200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v>150</v>
      </c>
      <c r="S11" s="6">
        <f t="shared" si="1"/>
        <v>5050</v>
      </c>
      <c r="T11" s="6">
        <v>-3750</v>
      </c>
      <c r="U11" s="6">
        <f t="shared" si="2"/>
        <v>1300</v>
      </c>
      <c r="V11" s="52"/>
      <c r="W11" s="57"/>
      <c r="X11" s="46"/>
      <c r="Y11" s="61"/>
      <c r="Z11" s="66">
        <f t="shared" si="3"/>
        <v>-5050</v>
      </c>
      <c r="AA11" s="61"/>
      <c r="AB11" s="67"/>
      <c r="AC11" s="61"/>
      <c r="AD11" s="66"/>
      <c r="AE11" s="61"/>
      <c r="AF11" s="52">
        <f t="shared" si="4"/>
        <v>-5050</v>
      </c>
      <c r="AG11" s="46">
        <f t="shared" si="5"/>
        <v>-3750</v>
      </c>
      <c r="AH11" s="51">
        <f t="shared" si="6"/>
        <v>-8800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-3350</v>
      </c>
      <c r="D12" s="6">
        <v>1100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500</v>
      </c>
      <c r="S12" s="6">
        <f t="shared" si="1"/>
        <v>-2750</v>
      </c>
      <c r="T12" s="6">
        <v>4700</v>
      </c>
      <c r="U12" s="6">
        <f t="shared" si="2"/>
        <v>1950</v>
      </c>
      <c r="V12" s="52"/>
      <c r="W12" s="57"/>
      <c r="X12" s="46"/>
      <c r="Y12" s="61"/>
      <c r="Z12" s="66">
        <f t="shared" si="3"/>
        <v>2750</v>
      </c>
      <c r="AA12" s="61"/>
      <c r="AB12" s="67"/>
      <c r="AC12" s="61"/>
      <c r="AD12" s="66"/>
      <c r="AE12" s="61"/>
      <c r="AF12" s="52">
        <f t="shared" si="4"/>
        <v>2750</v>
      </c>
      <c r="AG12" s="46">
        <f t="shared" si="5"/>
        <v>4700</v>
      </c>
      <c r="AH12" s="51">
        <f t="shared" si="6"/>
        <v>7450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14910</v>
      </c>
      <c r="D14" s="6">
        <f>2000</f>
        <v>2000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1250+1350+2250+2950</f>
        <v>7800</v>
      </c>
      <c r="S14" s="6">
        <f t="shared" si="1"/>
        <v>9110</v>
      </c>
      <c r="T14" s="6">
        <v>-5760</v>
      </c>
      <c r="U14" s="6">
        <f t="shared" si="2"/>
        <v>3350</v>
      </c>
      <c r="V14" s="52"/>
      <c r="W14" s="57"/>
      <c r="X14" s="46"/>
      <c r="Y14" s="61"/>
      <c r="Z14" s="66">
        <f t="shared" si="3"/>
        <v>-9110</v>
      </c>
      <c r="AA14" s="61"/>
      <c r="AB14" s="66"/>
      <c r="AC14" s="61"/>
      <c r="AD14" s="66"/>
      <c r="AE14" s="61"/>
      <c r="AF14" s="52">
        <f t="shared" si="4"/>
        <v>-9110</v>
      </c>
      <c r="AG14" s="46">
        <f t="shared" si="5"/>
        <v>-5760</v>
      </c>
      <c r="AH14" s="51">
        <f t="shared" si="6"/>
        <v>-14870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13650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13650</v>
      </c>
      <c r="T16" s="34">
        <v>-10050</v>
      </c>
      <c r="U16" s="6">
        <f t="shared" si="2"/>
        <v>3600</v>
      </c>
      <c r="V16" s="52"/>
      <c r="W16" s="57"/>
      <c r="X16" s="46"/>
      <c r="Y16" s="61"/>
      <c r="Z16" s="66">
        <f t="shared" si="3"/>
        <v>-13650</v>
      </c>
      <c r="AA16" s="61"/>
      <c r="AB16" s="67"/>
      <c r="AC16" s="61"/>
      <c r="AD16" s="47"/>
      <c r="AE16" s="61"/>
      <c r="AF16" s="52">
        <f t="shared" si="4"/>
        <v>-13650</v>
      </c>
      <c r="AG16" s="46">
        <f t="shared" si="5"/>
        <v>-10050</v>
      </c>
      <c r="AH16" s="51">
        <f t="shared" si="6"/>
        <v>-23700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10850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/>
      <c r="S17" s="6">
        <f t="shared" si="1"/>
        <v>10850</v>
      </c>
      <c r="T17" s="6">
        <v>-5000</v>
      </c>
      <c r="U17" s="6">
        <f t="shared" si="2"/>
        <v>5850</v>
      </c>
      <c r="V17" s="52"/>
      <c r="W17" s="57"/>
      <c r="X17" s="46"/>
      <c r="Y17" s="61"/>
      <c r="Z17" s="66">
        <f t="shared" si="3"/>
        <v>-10850</v>
      </c>
      <c r="AA17" s="61"/>
      <c r="AB17" s="66"/>
      <c r="AC17" s="61"/>
      <c r="AD17" s="66"/>
      <c r="AE17" s="61"/>
      <c r="AF17" s="52">
        <f t="shared" si="4"/>
        <v>-10850</v>
      </c>
      <c r="AG17" s="46">
        <f t="shared" si="5"/>
        <v>-5000</v>
      </c>
      <c r="AH17" s="51">
        <f t="shared" si="6"/>
        <v>-15850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9670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>
        <v>100</v>
      </c>
      <c r="S19" s="6">
        <f t="shared" si="1"/>
        <v>9570</v>
      </c>
      <c r="T19" s="6">
        <v>-8940</v>
      </c>
      <c r="U19" s="6">
        <f t="shared" si="2"/>
        <v>630</v>
      </c>
      <c r="V19" s="52"/>
      <c r="W19" s="57"/>
      <c r="X19" s="46"/>
      <c r="Y19" s="61"/>
      <c r="Z19" s="66">
        <f t="shared" si="3"/>
        <v>-9570</v>
      </c>
      <c r="AA19" s="61"/>
      <c r="AB19" s="67"/>
      <c r="AC19" s="61"/>
      <c r="AD19" s="66"/>
      <c r="AE19" s="61"/>
      <c r="AF19" s="52">
        <f t="shared" si="4"/>
        <v>-9570</v>
      </c>
      <c r="AG19" s="46">
        <f t="shared" si="5"/>
        <v>-8940</v>
      </c>
      <c r="AH19" s="51">
        <f t="shared" si="6"/>
        <v>-18510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3365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>
        <v>100</v>
      </c>
      <c r="S20" s="6">
        <f t="shared" si="1"/>
        <v>3265</v>
      </c>
      <c r="T20" s="6">
        <v>-1605</v>
      </c>
      <c r="U20" s="6">
        <f t="shared" si="2"/>
        <v>1660</v>
      </c>
      <c r="V20" s="52"/>
      <c r="W20" s="57"/>
      <c r="X20" s="46"/>
      <c r="Y20" s="61"/>
      <c r="Z20" s="66">
        <f t="shared" si="3"/>
        <v>-3265</v>
      </c>
      <c r="AA20" s="61"/>
      <c r="AB20" s="67"/>
      <c r="AC20" s="61"/>
      <c r="AD20" s="66"/>
      <c r="AE20" s="61"/>
      <c r="AF20" s="52">
        <f t="shared" si="4"/>
        <v>-3265</v>
      </c>
      <c r="AG20" s="46">
        <f t="shared" si="5"/>
        <v>-1605</v>
      </c>
      <c r="AH20" s="51">
        <f t="shared" si="6"/>
        <v>-4870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7">
        <f t="shared" si="0"/>
        <v>0</v>
      </c>
      <c r="R22" s="100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7">
        <f t="shared" si="0"/>
        <v>0</v>
      </c>
      <c r="R24" s="100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7">
        <f t="shared" si="0"/>
        <v>0</v>
      </c>
      <c r="R25" s="100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7">
        <f t="shared" si="0"/>
        <v>0</v>
      </c>
      <c r="R26" s="100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8560</v>
      </c>
      <c r="D27" s="6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7">
        <f t="shared" si="0"/>
        <v>0</v>
      </c>
      <c r="R27" s="100">
        <v>500</v>
      </c>
      <c r="S27" s="6">
        <f t="shared" si="1"/>
        <v>8060</v>
      </c>
      <c r="T27" s="6">
        <v>-40</v>
      </c>
      <c r="U27" s="6">
        <f t="shared" si="2"/>
        <v>8020</v>
      </c>
      <c r="V27" s="52"/>
      <c r="W27" s="57"/>
      <c r="X27" s="46"/>
      <c r="Y27" s="61"/>
      <c r="Z27" s="66">
        <f t="shared" si="3"/>
        <v>-8060</v>
      </c>
      <c r="AA27" s="61"/>
      <c r="AB27" s="67"/>
      <c r="AC27" s="61"/>
      <c r="AD27" s="66"/>
      <c r="AE27" s="61"/>
      <c r="AF27" s="52">
        <f t="shared" si="4"/>
        <v>-8060</v>
      </c>
      <c r="AG27" s="46">
        <f t="shared" si="5"/>
        <v>-40</v>
      </c>
      <c r="AH27" s="51">
        <f t="shared" si="6"/>
        <v>-8100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f>4460-1500</f>
        <v>2960</v>
      </c>
      <c r="D28" s="6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7">
        <f t="shared" si="0"/>
        <v>0</v>
      </c>
      <c r="R28" s="100"/>
      <c r="S28" s="6">
        <f t="shared" si="1"/>
        <v>2960</v>
      </c>
      <c r="T28" s="6">
        <f>-40-100</f>
        <v>-140</v>
      </c>
      <c r="U28" s="6">
        <f t="shared" si="2"/>
        <v>2820</v>
      </c>
      <c r="V28" s="52"/>
      <c r="W28" s="57"/>
      <c r="X28" s="46"/>
      <c r="Y28" s="61"/>
      <c r="Z28" s="66">
        <f t="shared" si="3"/>
        <v>-2960</v>
      </c>
      <c r="AA28" s="61"/>
      <c r="AB28" s="67"/>
      <c r="AC28" s="61"/>
      <c r="AD28" s="66"/>
      <c r="AE28" s="61"/>
      <c r="AF28" s="52">
        <f t="shared" si="4"/>
        <v>-2960</v>
      </c>
      <c r="AG28" s="46">
        <f t="shared" si="5"/>
        <v>-140</v>
      </c>
      <c r="AH28" s="51">
        <f t="shared" si="6"/>
        <v>-3100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f>-960+1500</f>
        <v>540</v>
      </c>
      <c r="D29" s="6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7">
        <f t="shared" si="0"/>
        <v>0</v>
      </c>
      <c r="R29" s="100">
        <v>1500</v>
      </c>
      <c r="S29" s="6">
        <f t="shared" si="1"/>
        <v>-960</v>
      </c>
      <c r="T29" s="6">
        <f>860+100</f>
        <v>960</v>
      </c>
      <c r="U29" s="6">
        <f t="shared" si="2"/>
        <v>0</v>
      </c>
      <c r="V29" s="52"/>
      <c r="W29" s="57"/>
      <c r="X29" s="46"/>
      <c r="Y29" s="61"/>
      <c r="Z29" s="66">
        <f t="shared" si="3"/>
        <v>960</v>
      </c>
      <c r="AA29" s="61"/>
      <c r="AB29" s="67"/>
      <c r="AC29" s="61"/>
      <c r="AD29" s="66"/>
      <c r="AE29" s="61"/>
      <c r="AF29" s="52">
        <f t="shared" si="4"/>
        <v>960</v>
      </c>
      <c r="AG29" s="46">
        <f t="shared" si="5"/>
        <v>960</v>
      </c>
      <c r="AH29" s="51">
        <f t="shared" si="6"/>
        <v>1920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7">
        <f t="shared" si="0"/>
        <v>0</v>
      </c>
      <c r="R30" s="100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19880</v>
      </c>
      <c r="D31" s="6"/>
      <c r="E31" s="100"/>
      <c r="F31" s="100"/>
      <c r="G31" s="100"/>
      <c r="H31" s="100"/>
      <c r="I31" s="100"/>
      <c r="J31" s="100"/>
      <c r="K31" s="100">
        <v>7840</v>
      </c>
      <c r="L31" s="100"/>
      <c r="M31" s="100"/>
      <c r="N31" s="100"/>
      <c r="O31" s="100"/>
      <c r="P31" s="100"/>
      <c r="Q31" s="7">
        <f t="shared" si="0"/>
        <v>7840</v>
      </c>
      <c r="R31" s="100"/>
      <c r="S31" s="6">
        <f t="shared" si="1"/>
        <v>19880</v>
      </c>
      <c r="T31" s="6">
        <v>-17180</v>
      </c>
      <c r="U31" s="6">
        <f t="shared" si="2"/>
        <v>2700</v>
      </c>
      <c r="V31" s="52"/>
      <c r="W31" s="57"/>
      <c r="X31" s="46"/>
      <c r="Y31" s="61"/>
      <c r="Z31" s="66">
        <f t="shared" si="3"/>
        <v>-19880</v>
      </c>
      <c r="AA31" s="61"/>
      <c r="AB31" s="64"/>
      <c r="AC31" s="61"/>
      <c r="AD31" s="66"/>
      <c r="AE31" s="61"/>
      <c r="AF31" s="52">
        <f t="shared" si="4"/>
        <v>-19880</v>
      </c>
      <c r="AG31" s="46">
        <f t="shared" si="5"/>
        <v>-17180</v>
      </c>
      <c r="AH31" s="51">
        <f t="shared" si="6"/>
        <v>-37060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24120</v>
      </c>
      <c r="D32" s="6"/>
      <c r="E32" s="100"/>
      <c r="F32" s="100"/>
      <c r="G32" s="100"/>
      <c r="H32" s="100"/>
      <c r="I32" s="100"/>
      <c r="J32" s="100"/>
      <c r="K32" s="100">
        <v>300</v>
      </c>
      <c r="L32" s="100"/>
      <c r="M32" s="100"/>
      <c r="N32" s="100"/>
      <c r="O32" s="6"/>
      <c r="P32" s="6">
        <v>12025</v>
      </c>
      <c r="Q32" s="7">
        <f>SUM(E32:P32)</f>
        <v>12325</v>
      </c>
      <c r="R32" s="100"/>
      <c r="S32" s="6">
        <f t="shared" si="1"/>
        <v>24120</v>
      </c>
      <c r="T32" s="6">
        <v>-18280</v>
      </c>
      <c r="U32" s="6">
        <f t="shared" si="2"/>
        <v>5840</v>
      </c>
      <c r="V32" s="52"/>
      <c r="W32" s="57"/>
      <c r="X32" s="46"/>
      <c r="Y32" s="61"/>
      <c r="Z32" s="66">
        <f t="shared" si="3"/>
        <v>-24120</v>
      </c>
      <c r="AA32" s="61"/>
      <c r="AB32" s="67"/>
      <c r="AC32" s="61"/>
      <c r="AD32" s="66"/>
      <c r="AE32" s="61"/>
      <c r="AF32" s="52">
        <f t="shared" si="4"/>
        <v>-24120</v>
      </c>
      <c r="AG32" s="46">
        <f t="shared" si="5"/>
        <v>-18280</v>
      </c>
      <c r="AH32" s="51">
        <f t="shared" si="6"/>
        <v>-42400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7">
        <f t="shared" si="0"/>
        <v>0</v>
      </c>
      <c r="R33" s="100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00"/>
      <c r="F34" s="100"/>
      <c r="G34" s="100"/>
      <c r="H34" s="100"/>
      <c r="I34" s="100"/>
      <c r="J34" s="100"/>
      <c r="K34" s="6"/>
      <c r="L34" s="100"/>
      <c r="M34" s="100"/>
      <c r="N34" s="100"/>
      <c r="O34" s="100"/>
      <c r="P34" s="100"/>
      <c r="Q34" s="7">
        <f t="shared" si="0"/>
        <v>0</v>
      </c>
      <c r="R34" s="100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00"/>
      <c r="F35" s="100"/>
      <c r="G35" s="100"/>
      <c r="H35" s="100"/>
      <c r="I35" s="100"/>
      <c r="J35" s="100"/>
      <c r="K35" s="6"/>
      <c r="L35" s="100"/>
      <c r="M35" s="100"/>
      <c r="N35" s="100"/>
      <c r="O35" s="100"/>
      <c r="P35" s="100"/>
      <c r="Q35" s="7">
        <f t="shared" si="0"/>
        <v>0</v>
      </c>
      <c r="R35" s="100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7">
        <f t="shared" si="0"/>
        <v>0</v>
      </c>
      <c r="R36" s="100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7">
        <f t="shared" si="0"/>
        <v>0</v>
      </c>
      <c r="R37" s="100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1420</v>
      </c>
      <c r="D38" s="6"/>
      <c r="E38" s="100"/>
      <c r="F38" s="100"/>
      <c r="G38" s="100"/>
      <c r="H38" s="100"/>
      <c r="I38" s="100"/>
      <c r="J38" s="100"/>
      <c r="K38" s="100">
        <v>2160</v>
      </c>
      <c r="L38" s="100">
        <v>8440</v>
      </c>
      <c r="M38" s="100"/>
      <c r="N38" s="100"/>
      <c r="O38" s="100"/>
      <c r="P38" s="100"/>
      <c r="Q38" s="7">
        <f>SUM(E38:P38)</f>
        <v>10600</v>
      </c>
      <c r="R38" s="100"/>
      <c r="S38" s="6">
        <f t="shared" si="1"/>
        <v>1420</v>
      </c>
      <c r="T38" s="6">
        <v>-1340</v>
      </c>
      <c r="U38" s="6">
        <f t="shared" si="2"/>
        <v>80</v>
      </c>
      <c r="V38" s="52"/>
      <c r="W38" s="57"/>
      <c r="X38" s="46"/>
      <c r="Y38" s="61"/>
      <c r="Z38" s="66">
        <f t="shared" si="3"/>
        <v>-1420</v>
      </c>
      <c r="AA38" s="61"/>
      <c r="AB38" s="64"/>
      <c r="AC38" s="61"/>
      <c r="AD38" s="66"/>
      <c r="AE38" s="61"/>
      <c r="AF38" s="52">
        <f t="shared" si="4"/>
        <v>-1420</v>
      </c>
      <c r="AG38" s="46">
        <f t="shared" si="5"/>
        <v>-1340</v>
      </c>
      <c r="AH38" s="51">
        <f t="shared" si="6"/>
        <v>-2760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7">
        <f>SUM(E39:P39)</f>
        <v>0</v>
      </c>
      <c r="R39" s="100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100"/>
      <c r="F40" s="100"/>
      <c r="G40" s="100"/>
      <c r="H40" s="27"/>
      <c r="I40" s="100"/>
      <c r="J40" s="100"/>
      <c r="K40" s="100"/>
      <c r="L40" s="100"/>
      <c r="M40" s="100"/>
      <c r="N40" s="100"/>
      <c r="O40" s="100"/>
      <c r="P40" s="100"/>
      <c r="Q40" s="7">
        <f>SUM(E40:P40)</f>
        <v>0</v>
      </c>
      <c r="R40" s="100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7">
        <f>SUM(E41:P41)</f>
        <v>0</v>
      </c>
      <c r="R41" s="100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7">
        <f>SUM(E42:P42)</f>
        <v>0</v>
      </c>
      <c r="R42" s="100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7">
        <f t="shared" si="0"/>
        <v>0</v>
      </c>
      <c r="R44" s="100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7">
        <f t="shared" si="0"/>
        <v>0</v>
      </c>
      <c r="R45" s="100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7">
        <f t="shared" si="0"/>
        <v>0</v>
      </c>
      <c r="R46" s="100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7">
        <f t="shared" si="0"/>
        <v>0</v>
      </c>
      <c r="R47" s="100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7">
        <f t="shared" si="0"/>
        <v>0</v>
      </c>
      <c r="R48" s="100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7">
        <f t="shared" si="0"/>
        <v>0</v>
      </c>
      <c r="R49" s="100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16075</v>
      </c>
      <c r="D50" s="6"/>
      <c r="E50" s="100"/>
      <c r="F50" s="100"/>
      <c r="G50" s="100"/>
      <c r="H50" s="100"/>
      <c r="I50" s="100"/>
      <c r="J50" s="100"/>
      <c r="K50" s="100">
        <v>16000</v>
      </c>
      <c r="L50" s="100"/>
      <c r="M50" s="100"/>
      <c r="N50" s="100"/>
      <c r="O50" s="100"/>
      <c r="P50" s="100"/>
      <c r="Q50" s="7">
        <f t="shared" si="0"/>
        <v>16000</v>
      </c>
      <c r="R50" s="100"/>
      <c r="S50" s="6">
        <f t="shared" si="1"/>
        <v>16075</v>
      </c>
      <c r="T50" s="6">
        <f>-12000+8615</f>
        <v>-3385</v>
      </c>
      <c r="U50" s="6">
        <f t="shared" si="2"/>
        <v>12690</v>
      </c>
      <c r="V50" s="52"/>
      <c r="W50" s="57"/>
      <c r="X50" s="46"/>
      <c r="Y50" s="61"/>
      <c r="Z50" s="66">
        <f t="shared" si="3"/>
        <v>-16075</v>
      </c>
      <c r="AA50" s="61"/>
      <c r="AB50" s="64"/>
      <c r="AC50" s="61"/>
      <c r="AD50" s="66"/>
      <c r="AE50" s="61"/>
      <c r="AF50" s="52">
        <f t="shared" si="4"/>
        <v>-16075</v>
      </c>
      <c r="AG50" s="46">
        <f t="shared" si="5"/>
        <v>-3385</v>
      </c>
      <c r="AH50" s="51">
        <f t="shared" si="6"/>
        <v>-19460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7">
        <f t="shared" si="0"/>
        <v>0</v>
      </c>
      <c r="R51" s="100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2510</v>
      </c>
      <c r="D52" s="6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7">
        <f t="shared" si="0"/>
        <v>0</v>
      </c>
      <c r="R52" s="100"/>
      <c r="S52" s="6">
        <f t="shared" si="1"/>
        <v>2510</v>
      </c>
      <c r="T52" s="6">
        <v>-2510</v>
      </c>
      <c r="U52" s="6">
        <f t="shared" si="2"/>
        <v>0</v>
      </c>
      <c r="V52" s="52"/>
      <c r="W52" s="57"/>
      <c r="X52" s="46"/>
      <c r="Y52" s="61"/>
      <c r="Z52" s="66">
        <f t="shared" si="3"/>
        <v>-2510</v>
      </c>
      <c r="AA52" s="61"/>
      <c r="AB52" s="67"/>
      <c r="AC52" s="61"/>
      <c r="AD52" s="66"/>
      <c r="AE52" s="61"/>
      <c r="AF52" s="52">
        <f t="shared" si="4"/>
        <v>-2510</v>
      </c>
      <c r="AG52" s="46">
        <f t="shared" si="5"/>
        <v>-2510</v>
      </c>
      <c r="AH52" s="51">
        <f t="shared" si="6"/>
        <v>-5020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7">
        <f t="shared" si="0"/>
        <v>0</v>
      </c>
      <c r="R53" s="100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7950</v>
      </c>
      <c r="D54" s="6"/>
      <c r="E54" s="100"/>
      <c r="F54" s="100"/>
      <c r="G54" s="100"/>
      <c r="H54" s="100"/>
      <c r="I54" s="100"/>
      <c r="J54" s="100"/>
      <c r="K54" s="100">
        <v>6000</v>
      </c>
      <c r="L54" s="100"/>
      <c r="M54" s="100"/>
      <c r="N54" s="100"/>
      <c r="O54" s="100"/>
      <c r="P54" s="100"/>
      <c r="Q54" s="7">
        <f t="shared" si="0"/>
        <v>6000</v>
      </c>
      <c r="R54" s="100"/>
      <c r="S54" s="6">
        <f t="shared" si="1"/>
        <v>7950</v>
      </c>
      <c r="T54" s="6">
        <v>-2850</v>
      </c>
      <c r="U54" s="6">
        <f t="shared" si="2"/>
        <v>5100</v>
      </c>
      <c r="V54" s="52"/>
      <c r="W54" s="57"/>
      <c r="X54" s="46"/>
      <c r="Y54" s="61"/>
      <c r="Z54" s="66">
        <f t="shared" si="3"/>
        <v>-7950</v>
      </c>
      <c r="AA54" s="61"/>
      <c r="AB54" s="67"/>
      <c r="AC54" s="61"/>
      <c r="AD54" s="66"/>
      <c r="AE54" s="61"/>
      <c r="AF54" s="52">
        <f t="shared" si="4"/>
        <v>-7950</v>
      </c>
      <c r="AG54" s="46">
        <f t="shared" si="5"/>
        <v>-2850</v>
      </c>
      <c r="AH54" s="51">
        <f t="shared" si="6"/>
        <v>-10800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7">
        <f t="shared" si="0"/>
        <v>0</v>
      </c>
      <c r="R55" s="100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7">
        <f>SUM(E56:P56)</f>
        <v>0</v>
      </c>
      <c r="R56" s="100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7">
        <f t="shared" si="0"/>
        <v>0</v>
      </c>
      <c r="R61" s="100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7">
        <f t="shared" si="0"/>
        <v>0</v>
      </c>
      <c r="R62" s="99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7">
        <f t="shared" si="0"/>
        <v>0</v>
      </c>
      <c r="R63" s="99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7">
        <f t="shared" si="0"/>
        <v>0</v>
      </c>
      <c r="R64" s="99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7">
        <f t="shared" si="0"/>
        <v>0</v>
      </c>
      <c r="R65" s="99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01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3700</v>
      </c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7">
        <f t="shared" si="0"/>
        <v>0</v>
      </c>
      <c r="R67" s="100"/>
      <c r="S67" s="6">
        <f t="shared" si="1"/>
        <v>3700</v>
      </c>
      <c r="T67" s="6">
        <v>-1525</v>
      </c>
      <c r="U67" s="6">
        <f t="shared" si="2"/>
        <v>2175</v>
      </c>
      <c r="V67" s="52"/>
      <c r="W67" s="57"/>
      <c r="X67" s="46"/>
      <c r="Y67" s="61"/>
      <c r="Z67" s="66">
        <f t="shared" si="3"/>
        <v>-3700</v>
      </c>
      <c r="AA67" s="61"/>
      <c r="AB67" s="67"/>
      <c r="AC67" s="61"/>
      <c r="AD67" s="66"/>
      <c r="AE67" s="61"/>
      <c r="AF67" s="52">
        <f t="shared" si="4"/>
        <v>-3700</v>
      </c>
      <c r="AG67" s="46">
        <f t="shared" si="5"/>
        <v>-1525</v>
      </c>
      <c r="AH67" s="51">
        <f t="shared" si="6"/>
        <v>-5225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7">
        <f t="shared" si="0"/>
        <v>0</v>
      </c>
      <c r="R68" s="100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29825</v>
      </c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7">
        <f t="shared" si="0"/>
        <v>0</v>
      </c>
      <c r="R69" s="100">
        <v>375</v>
      </c>
      <c r="S69" s="6">
        <f t="shared" si="1"/>
        <v>29450</v>
      </c>
      <c r="T69" s="6">
        <v>-16950</v>
      </c>
      <c r="U69" s="6">
        <f t="shared" si="2"/>
        <v>12500</v>
      </c>
      <c r="V69" s="52"/>
      <c r="W69" s="57"/>
      <c r="X69" s="46"/>
      <c r="Y69" s="61"/>
      <c r="Z69" s="66">
        <f t="shared" si="3"/>
        <v>-29450</v>
      </c>
      <c r="AA69" s="61"/>
      <c r="AB69" s="64"/>
      <c r="AC69" s="61"/>
      <c r="AD69" s="66"/>
      <c r="AE69" s="61"/>
      <c r="AF69" s="52">
        <f t="shared" si="4"/>
        <v>-29450</v>
      </c>
      <c r="AG69" s="46">
        <f t="shared" si="5"/>
        <v>-16950</v>
      </c>
      <c r="AH69" s="51">
        <f t="shared" si="6"/>
        <v>-46400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14750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7">
        <f t="shared" si="0"/>
        <v>0</v>
      </c>
      <c r="R70" s="100">
        <f>2000+300</f>
        <v>2300</v>
      </c>
      <c r="S70" s="6">
        <f t="shared" si="1"/>
        <v>12450</v>
      </c>
      <c r="T70" s="6">
        <v>-9425</v>
      </c>
      <c r="U70" s="6">
        <f t="shared" si="2"/>
        <v>3025</v>
      </c>
      <c r="V70" s="52"/>
      <c r="W70" s="57"/>
      <c r="X70" s="46"/>
      <c r="Y70" s="61"/>
      <c r="Z70" s="66">
        <f t="shared" si="3"/>
        <v>-12450</v>
      </c>
      <c r="AA70" s="61"/>
      <c r="AB70" s="67"/>
      <c r="AC70" s="61"/>
      <c r="AD70" s="66"/>
      <c r="AE70" s="61"/>
      <c r="AF70" s="52">
        <f t="shared" si="4"/>
        <v>-12450</v>
      </c>
      <c r="AG70" s="46">
        <f t="shared" si="5"/>
        <v>-9425</v>
      </c>
      <c r="AH70" s="51">
        <f t="shared" si="6"/>
        <v>-21875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33575</v>
      </c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7">
        <f t="shared" si="0"/>
        <v>0</v>
      </c>
      <c r="R71" s="100">
        <f>25+125</f>
        <v>150</v>
      </c>
      <c r="S71" s="6">
        <f t="shared" si="1"/>
        <v>33425</v>
      </c>
      <c r="T71" s="6">
        <v>-27500</v>
      </c>
      <c r="U71" s="6">
        <f t="shared" si="2"/>
        <v>5925</v>
      </c>
      <c r="V71" s="52"/>
      <c r="W71" s="57"/>
      <c r="X71" s="46"/>
      <c r="Y71" s="61"/>
      <c r="Z71" s="66">
        <f t="shared" si="3"/>
        <v>-33425</v>
      </c>
      <c r="AA71" s="61"/>
      <c r="AB71" s="64"/>
      <c r="AC71" s="61"/>
      <c r="AD71" s="66"/>
      <c r="AE71" s="61"/>
      <c r="AF71" s="52">
        <f t="shared" si="4"/>
        <v>-33425</v>
      </c>
      <c r="AG71" s="46">
        <f t="shared" si="5"/>
        <v>-27500</v>
      </c>
      <c r="AH71" s="51">
        <f t="shared" si="6"/>
        <v>-60925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00">
        <f>SUM(C7:C72)</f>
        <v>417985</v>
      </c>
      <c r="D73" s="100">
        <f t="shared" ref="D73:V73" si="11">SUM(D7:D72)</f>
        <v>3100</v>
      </c>
      <c r="E73" s="100">
        <f t="shared" si="11"/>
        <v>0</v>
      </c>
      <c r="F73" s="100">
        <f t="shared" si="11"/>
        <v>0</v>
      </c>
      <c r="G73" s="100">
        <f t="shared" si="11"/>
        <v>0</v>
      </c>
      <c r="H73" s="27">
        <f t="shared" si="11"/>
        <v>0</v>
      </c>
      <c r="I73" s="100">
        <f t="shared" si="11"/>
        <v>0</v>
      </c>
      <c r="J73" s="100">
        <f t="shared" si="11"/>
        <v>0</v>
      </c>
      <c r="K73" s="100">
        <f t="shared" si="11"/>
        <v>32300</v>
      </c>
      <c r="L73" s="100">
        <f t="shared" si="11"/>
        <v>8440</v>
      </c>
      <c r="M73" s="100">
        <f t="shared" si="11"/>
        <v>0</v>
      </c>
      <c r="N73" s="100">
        <f t="shared" si="11"/>
        <v>0</v>
      </c>
      <c r="O73" s="100">
        <f t="shared" si="11"/>
        <v>0</v>
      </c>
      <c r="P73" s="100">
        <f t="shared" si="11"/>
        <v>12025</v>
      </c>
      <c r="Q73" s="100">
        <f t="shared" si="11"/>
        <v>52765</v>
      </c>
      <c r="R73" s="100">
        <f t="shared" si="11"/>
        <v>13475</v>
      </c>
      <c r="S73" s="100">
        <f t="shared" si="11"/>
        <v>407610</v>
      </c>
      <c r="T73" s="100">
        <f t="shared" si="11"/>
        <v>-286670</v>
      </c>
      <c r="U73" s="100">
        <f t="shared" si="11"/>
        <v>120940</v>
      </c>
      <c r="V73" s="100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-407610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-407610</v>
      </c>
      <c r="AG73" s="43">
        <f t="shared" si="12"/>
        <v>-286670</v>
      </c>
      <c r="AH73" s="43">
        <f t="shared" si="12"/>
        <v>-694280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52765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</f>
        <v>122220</v>
      </c>
      <c r="S74" s="211"/>
      <c r="T74" s="212">
        <f>R74+R75</f>
        <v>222545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3100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</f>
        <v>100325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13475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</f>
        <v>181060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</f>
        <v>36000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36000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37425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18440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145060</v>
      </c>
      <c r="S80" s="197"/>
      <c r="T80" s="22"/>
      <c r="U80" s="22"/>
      <c r="V80" s="2"/>
      <c r="X80" s="63">
        <f>SUM(X77:X79)</f>
        <v>55865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02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/>
      <c r="S91" s="36">
        <v>5</v>
      </c>
      <c r="T91" s="36"/>
      <c r="U91" s="36">
        <v>5</v>
      </c>
      <c r="V91" s="83"/>
      <c r="W91" s="83"/>
      <c r="X91" s="36">
        <f t="shared" si="13"/>
        <v>0</v>
      </c>
      <c r="Z91" s="36"/>
      <c r="AA91" s="36"/>
    </row>
    <row r="92" spans="1:31">
      <c r="B92" s="36"/>
      <c r="C92" s="36"/>
      <c r="R92" s="36"/>
      <c r="S92" s="36">
        <v>6</v>
      </c>
      <c r="T92" s="36"/>
      <c r="U92" s="36">
        <v>6</v>
      </c>
      <c r="V92" s="36"/>
      <c r="W92" s="36"/>
      <c r="X92" s="36">
        <f t="shared" si="13"/>
        <v>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0</v>
      </c>
      <c r="R118" s="63">
        <f t="shared" si="14"/>
        <v>38950</v>
      </c>
      <c r="S118" s="63"/>
      <c r="T118" s="63">
        <f>SUM(T87:T117)</f>
        <v>181060</v>
      </c>
      <c r="U118" s="63"/>
      <c r="V118" s="63">
        <f>SUM(V87:V117)</f>
        <v>122220</v>
      </c>
      <c r="W118" s="63">
        <f>SUM(W87:W117)</f>
        <v>100325</v>
      </c>
      <c r="X118" s="36">
        <f>SUM(V118:W118)</f>
        <v>222545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2" activePane="bottomRight" state="frozen"/>
      <selection activeCell="O32" sqref="O32"/>
      <selection pane="topRight" activeCell="O32" sqref="O32"/>
      <selection pane="bottomLeft" activeCell="O32" sqref="O32"/>
      <selection pane="bottomRight" activeCell="K73" sqref="K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155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154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17600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/>
      <c r="S7" s="6">
        <f>C7+D7-R7</f>
        <v>17600</v>
      </c>
      <c r="T7" s="34">
        <v>-9150</v>
      </c>
      <c r="U7" s="6">
        <f>S7+T7</f>
        <v>8450</v>
      </c>
      <c r="V7" s="52"/>
      <c r="W7" s="57"/>
      <c r="X7" s="46"/>
      <c r="Y7" s="65"/>
      <c r="Z7" s="66">
        <f>W7-S7</f>
        <v>-17600</v>
      </c>
      <c r="AA7" s="65"/>
      <c r="AB7" s="67"/>
      <c r="AC7" s="65"/>
      <c r="AD7" s="47"/>
      <c r="AE7" s="61"/>
      <c r="AF7" s="52">
        <f>SUM(Y7:AE7)</f>
        <v>-17600</v>
      </c>
      <c r="AG7" s="46">
        <f>U7+AF7</f>
        <v>-9150</v>
      </c>
      <c r="AH7" s="51">
        <f>AG7-S7</f>
        <v>-26750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31200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/>
      <c r="S8" s="6">
        <f t="shared" ref="S8:S71" si="1">C8+D8-R8</f>
        <v>31200</v>
      </c>
      <c r="T8" s="6">
        <v>-24350</v>
      </c>
      <c r="U8" s="6">
        <f t="shared" ref="U8:U71" si="2">S8+T8</f>
        <v>6850</v>
      </c>
      <c r="V8" s="52"/>
      <c r="W8" s="57"/>
      <c r="X8" s="46"/>
      <c r="Y8" s="61"/>
      <c r="Z8" s="66">
        <f t="shared" ref="Z8:Z71" si="3">W8-S8</f>
        <v>-31200</v>
      </c>
      <c r="AA8" s="61"/>
      <c r="AB8" s="67"/>
      <c r="AC8" s="61"/>
      <c r="AD8" s="66"/>
      <c r="AE8" s="61"/>
      <c r="AF8" s="52">
        <f t="shared" ref="AF8:AF71" si="4">SUM(Y8:AE8)</f>
        <v>-31200</v>
      </c>
      <c r="AG8" s="46">
        <f t="shared" ref="AG8:AG71" si="5">U8+AF8</f>
        <v>-24350</v>
      </c>
      <c r="AH8" s="51">
        <f t="shared" ref="AH8:AH71" si="6">AG8-S8</f>
        <v>-55550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>
        <f>4500+11025</f>
        <v>15525</v>
      </c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15525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5050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/>
      <c r="S11" s="6">
        <f t="shared" si="1"/>
        <v>5050</v>
      </c>
      <c r="T11" s="6">
        <v>-3750</v>
      </c>
      <c r="U11" s="6">
        <f t="shared" si="2"/>
        <v>1300</v>
      </c>
      <c r="V11" s="52"/>
      <c r="W11" s="57"/>
      <c r="X11" s="46"/>
      <c r="Y11" s="61"/>
      <c r="Z11" s="66">
        <f t="shared" si="3"/>
        <v>-5050</v>
      </c>
      <c r="AA11" s="61"/>
      <c r="AB11" s="67"/>
      <c r="AC11" s="61"/>
      <c r="AD11" s="66"/>
      <c r="AE11" s="61"/>
      <c r="AF11" s="52">
        <f t="shared" si="4"/>
        <v>-5050</v>
      </c>
      <c r="AG11" s="46">
        <f t="shared" si="5"/>
        <v>-3750</v>
      </c>
      <c r="AH11" s="51">
        <f t="shared" si="6"/>
        <v>-8800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-2750</v>
      </c>
      <c r="D12" s="6">
        <v>5000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600</v>
      </c>
      <c r="S12" s="6">
        <f t="shared" si="1"/>
        <v>1650</v>
      </c>
      <c r="T12" s="6">
        <v>4700</v>
      </c>
      <c r="U12" s="6">
        <f t="shared" si="2"/>
        <v>6350</v>
      </c>
      <c r="V12" s="52"/>
      <c r="W12" s="57"/>
      <c r="X12" s="46"/>
      <c r="Y12" s="61"/>
      <c r="Z12" s="66">
        <f t="shared" si="3"/>
        <v>-1650</v>
      </c>
      <c r="AA12" s="61"/>
      <c r="AB12" s="67"/>
      <c r="AC12" s="61"/>
      <c r="AD12" s="66"/>
      <c r="AE12" s="61"/>
      <c r="AF12" s="52">
        <f t="shared" si="4"/>
        <v>-1650</v>
      </c>
      <c r="AG12" s="46">
        <f t="shared" si="5"/>
        <v>4700</v>
      </c>
      <c r="AH12" s="51">
        <f t="shared" si="6"/>
        <v>3050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9110</v>
      </c>
      <c r="D14" s="6">
        <f>10000+10150+4100</f>
        <v>24250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4400</f>
        <v>4400</v>
      </c>
      <c r="S14" s="6">
        <f t="shared" si="1"/>
        <v>28960</v>
      </c>
      <c r="T14" s="6">
        <v>-5760</v>
      </c>
      <c r="U14" s="6">
        <f t="shared" si="2"/>
        <v>23200</v>
      </c>
      <c r="V14" s="52"/>
      <c r="W14" s="57"/>
      <c r="X14" s="46"/>
      <c r="Y14" s="61"/>
      <c r="Z14" s="66">
        <f t="shared" si="3"/>
        <v>-28960</v>
      </c>
      <c r="AA14" s="61"/>
      <c r="AB14" s="66"/>
      <c r="AC14" s="61"/>
      <c r="AD14" s="66"/>
      <c r="AE14" s="61"/>
      <c r="AF14" s="52">
        <f t="shared" si="4"/>
        <v>-28960</v>
      </c>
      <c r="AG14" s="46">
        <f t="shared" si="5"/>
        <v>-5760</v>
      </c>
      <c r="AH14" s="51">
        <f t="shared" si="6"/>
        <v>-34720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13650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13650</v>
      </c>
      <c r="T16" s="34">
        <v>-10050</v>
      </c>
      <c r="U16" s="6">
        <f t="shared" si="2"/>
        <v>3600</v>
      </c>
      <c r="V16" s="52"/>
      <c r="W16" s="57"/>
      <c r="X16" s="46"/>
      <c r="Y16" s="61"/>
      <c r="Z16" s="66">
        <f t="shared" si="3"/>
        <v>-13650</v>
      </c>
      <c r="AA16" s="61"/>
      <c r="AB16" s="67"/>
      <c r="AC16" s="61"/>
      <c r="AD16" s="47"/>
      <c r="AE16" s="61"/>
      <c r="AF16" s="52">
        <f t="shared" si="4"/>
        <v>-13650</v>
      </c>
      <c r="AG16" s="46">
        <f t="shared" si="5"/>
        <v>-10050</v>
      </c>
      <c r="AH16" s="51">
        <f t="shared" si="6"/>
        <v>-23700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10850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v>600</v>
      </c>
      <c r="S17" s="6">
        <f t="shared" si="1"/>
        <v>10250</v>
      </c>
      <c r="T17" s="6">
        <v>-5000</v>
      </c>
      <c r="U17" s="6">
        <f t="shared" si="2"/>
        <v>5250</v>
      </c>
      <c r="V17" s="52"/>
      <c r="W17" s="57"/>
      <c r="X17" s="46"/>
      <c r="Y17" s="61"/>
      <c r="Z17" s="66">
        <f t="shared" si="3"/>
        <v>-10250</v>
      </c>
      <c r="AA17" s="61"/>
      <c r="AB17" s="66"/>
      <c r="AC17" s="61"/>
      <c r="AD17" s="66"/>
      <c r="AE17" s="61"/>
      <c r="AF17" s="52">
        <f t="shared" si="4"/>
        <v>-10250</v>
      </c>
      <c r="AG17" s="46">
        <f t="shared" si="5"/>
        <v>-5000</v>
      </c>
      <c r="AH17" s="51">
        <f t="shared" si="6"/>
        <v>-15250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9570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9570</v>
      </c>
      <c r="T19" s="6">
        <v>-8940</v>
      </c>
      <c r="U19" s="6">
        <f t="shared" si="2"/>
        <v>630</v>
      </c>
      <c r="V19" s="52"/>
      <c r="W19" s="57"/>
      <c r="X19" s="46"/>
      <c r="Y19" s="61"/>
      <c r="Z19" s="66">
        <f t="shared" si="3"/>
        <v>-9570</v>
      </c>
      <c r="AA19" s="61"/>
      <c r="AB19" s="67"/>
      <c r="AC19" s="61"/>
      <c r="AD19" s="66"/>
      <c r="AE19" s="61"/>
      <c r="AF19" s="52">
        <f t="shared" si="4"/>
        <v>-9570</v>
      </c>
      <c r="AG19" s="46">
        <f t="shared" si="5"/>
        <v>-8940</v>
      </c>
      <c r="AH19" s="51">
        <f t="shared" si="6"/>
        <v>-18510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3265</v>
      </c>
      <c r="T20" s="6">
        <v>-1605</v>
      </c>
      <c r="U20" s="6">
        <f t="shared" si="2"/>
        <v>1660</v>
      </c>
      <c r="V20" s="52"/>
      <c r="W20" s="57"/>
      <c r="X20" s="46"/>
      <c r="Y20" s="61"/>
      <c r="Z20" s="66">
        <f t="shared" si="3"/>
        <v>-3265</v>
      </c>
      <c r="AA20" s="61"/>
      <c r="AB20" s="67"/>
      <c r="AC20" s="61"/>
      <c r="AD20" s="66"/>
      <c r="AE20" s="61"/>
      <c r="AF20" s="52">
        <f t="shared" si="4"/>
        <v>-3265</v>
      </c>
      <c r="AG20" s="46">
        <f t="shared" si="5"/>
        <v>-1605</v>
      </c>
      <c r="AH20" s="51">
        <f t="shared" si="6"/>
        <v>-4870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7">
        <f t="shared" si="0"/>
        <v>0</v>
      </c>
      <c r="R22" s="104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7">
        <f t="shared" si="0"/>
        <v>0</v>
      </c>
      <c r="R24" s="104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7">
        <f t="shared" si="0"/>
        <v>0</v>
      </c>
      <c r="R25" s="104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7">
        <f t="shared" si="0"/>
        <v>0</v>
      </c>
      <c r="R26" s="104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8060</v>
      </c>
      <c r="D27" s="6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7">
        <f t="shared" si="0"/>
        <v>0</v>
      </c>
      <c r="R27" s="104"/>
      <c r="S27" s="6">
        <f t="shared" si="1"/>
        <v>8060</v>
      </c>
      <c r="T27" s="6">
        <v>-40</v>
      </c>
      <c r="U27" s="6">
        <f t="shared" si="2"/>
        <v>8020</v>
      </c>
      <c r="V27" s="52"/>
      <c r="W27" s="57"/>
      <c r="X27" s="46"/>
      <c r="Y27" s="61"/>
      <c r="Z27" s="66">
        <f t="shared" si="3"/>
        <v>-8060</v>
      </c>
      <c r="AA27" s="61"/>
      <c r="AB27" s="67"/>
      <c r="AC27" s="61"/>
      <c r="AD27" s="66"/>
      <c r="AE27" s="61"/>
      <c r="AF27" s="52">
        <f t="shared" si="4"/>
        <v>-8060</v>
      </c>
      <c r="AG27" s="46">
        <f t="shared" si="5"/>
        <v>-40</v>
      </c>
      <c r="AH27" s="51">
        <f t="shared" si="6"/>
        <v>-8100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f>2960-1000</f>
        <v>1960</v>
      </c>
      <c r="D28" s="6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7">
        <f t="shared" si="0"/>
        <v>0</v>
      </c>
      <c r="R28" s="104"/>
      <c r="S28" s="6">
        <f t="shared" si="1"/>
        <v>1960</v>
      </c>
      <c r="T28" s="6">
        <f>-40-100</f>
        <v>-140</v>
      </c>
      <c r="U28" s="6">
        <f t="shared" si="2"/>
        <v>1820</v>
      </c>
      <c r="V28" s="52"/>
      <c r="W28" s="57"/>
      <c r="X28" s="46"/>
      <c r="Y28" s="61"/>
      <c r="Z28" s="66">
        <f t="shared" si="3"/>
        <v>-1960</v>
      </c>
      <c r="AA28" s="61"/>
      <c r="AB28" s="67"/>
      <c r="AC28" s="61"/>
      <c r="AD28" s="66"/>
      <c r="AE28" s="61"/>
      <c r="AF28" s="52">
        <f t="shared" si="4"/>
        <v>-1960</v>
      </c>
      <c r="AG28" s="46">
        <f t="shared" si="5"/>
        <v>-140</v>
      </c>
      <c r="AH28" s="51">
        <f t="shared" si="6"/>
        <v>-2100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-960</v>
      </c>
      <c r="D29" s="6"/>
      <c r="E29" s="104"/>
      <c r="F29" s="104"/>
      <c r="G29" s="104">
        <f>3000+5500</f>
        <v>8500</v>
      </c>
      <c r="H29" s="104"/>
      <c r="I29" s="104"/>
      <c r="J29" s="104"/>
      <c r="K29" s="104"/>
      <c r="L29" s="104"/>
      <c r="M29" s="104"/>
      <c r="N29" s="104"/>
      <c r="O29" s="104"/>
      <c r="P29" s="104"/>
      <c r="Q29" s="7">
        <f t="shared" si="0"/>
        <v>8500</v>
      </c>
      <c r="R29" s="104"/>
      <c r="S29" s="6">
        <f t="shared" si="1"/>
        <v>-960</v>
      </c>
      <c r="T29" s="6">
        <f>860+100</f>
        <v>960</v>
      </c>
      <c r="U29" s="6">
        <f t="shared" si="2"/>
        <v>0</v>
      </c>
      <c r="V29" s="52"/>
      <c r="W29" s="57"/>
      <c r="X29" s="46"/>
      <c r="Y29" s="61"/>
      <c r="Z29" s="66">
        <f t="shared" si="3"/>
        <v>960</v>
      </c>
      <c r="AA29" s="61"/>
      <c r="AB29" s="67"/>
      <c r="AC29" s="61"/>
      <c r="AD29" s="66"/>
      <c r="AE29" s="61"/>
      <c r="AF29" s="52">
        <f t="shared" si="4"/>
        <v>960</v>
      </c>
      <c r="AG29" s="46">
        <f t="shared" si="5"/>
        <v>960</v>
      </c>
      <c r="AH29" s="51">
        <f t="shared" si="6"/>
        <v>1920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7">
        <f t="shared" si="0"/>
        <v>0</v>
      </c>
      <c r="R30" s="104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19880</v>
      </c>
      <c r="D31" s="6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7">
        <f t="shared" si="0"/>
        <v>0</v>
      </c>
      <c r="R31" s="104"/>
      <c r="S31" s="6">
        <f t="shared" si="1"/>
        <v>19880</v>
      </c>
      <c r="T31" s="6">
        <v>-17180</v>
      </c>
      <c r="U31" s="6">
        <f t="shared" si="2"/>
        <v>2700</v>
      </c>
      <c r="V31" s="52"/>
      <c r="W31" s="57"/>
      <c r="X31" s="46"/>
      <c r="Y31" s="61"/>
      <c r="Z31" s="66">
        <f t="shared" si="3"/>
        <v>-19880</v>
      </c>
      <c r="AA31" s="61"/>
      <c r="AB31" s="64"/>
      <c r="AC31" s="61"/>
      <c r="AD31" s="66"/>
      <c r="AE31" s="61"/>
      <c r="AF31" s="52">
        <f t="shared" si="4"/>
        <v>-19880</v>
      </c>
      <c r="AG31" s="46">
        <f t="shared" si="5"/>
        <v>-17180</v>
      </c>
      <c r="AH31" s="51">
        <f t="shared" si="6"/>
        <v>-37060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24120</v>
      </c>
      <c r="D32" s="6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6"/>
      <c r="P32" s="6"/>
      <c r="Q32" s="7">
        <f>SUM(E32:P32)</f>
        <v>0</v>
      </c>
      <c r="R32" s="104"/>
      <c r="S32" s="6">
        <f t="shared" si="1"/>
        <v>24120</v>
      </c>
      <c r="T32" s="6">
        <v>-18280</v>
      </c>
      <c r="U32" s="6">
        <f t="shared" si="2"/>
        <v>5840</v>
      </c>
      <c r="V32" s="52"/>
      <c r="W32" s="57"/>
      <c r="X32" s="46"/>
      <c r="Y32" s="61"/>
      <c r="Z32" s="66">
        <f t="shared" si="3"/>
        <v>-24120</v>
      </c>
      <c r="AA32" s="61"/>
      <c r="AB32" s="67"/>
      <c r="AC32" s="61"/>
      <c r="AD32" s="66"/>
      <c r="AE32" s="61"/>
      <c r="AF32" s="52">
        <f t="shared" si="4"/>
        <v>-24120</v>
      </c>
      <c r="AG32" s="46">
        <f t="shared" si="5"/>
        <v>-18280</v>
      </c>
      <c r="AH32" s="51">
        <f t="shared" si="6"/>
        <v>-42400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7">
        <f t="shared" si="0"/>
        <v>0</v>
      </c>
      <c r="R33" s="104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04"/>
      <c r="F34" s="104"/>
      <c r="G34" s="104"/>
      <c r="H34" s="104"/>
      <c r="I34" s="104"/>
      <c r="J34" s="104"/>
      <c r="K34" s="6"/>
      <c r="L34" s="104"/>
      <c r="M34" s="104"/>
      <c r="N34" s="104"/>
      <c r="O34" s="104"/>
      <c r="P34" s="104"/>
      <c r="Q34" s="7">
        <f t="shared" si="0"/>
        <v>0</v>
      </c>
      <c r="R34" s="104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04"/>
      <c r="F35" s="104"/>
      <c r="G35" s="104">
        <v>10400</v>
      </c>
      <c r="H35" s="104"/>
      <c r="I35" s="104"/>
      <c r="J35" s="104"/>
      <c r="K35" s="6">
        <v>2000</v>
      </c>
      <c r="L35" s="104"/>
      <c r="M35" s="104"/>
      <c r="N35" s="104"/>
      <c r="O35" s="104"/>
      <c r="P35" s="104"/>
      <c r="Q35" s="7">
        <f t="shared" si="0"/>
        <v>12400</v>
      </c>
      <c r="R35" s="104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7">
        <f t="shared" si="0"/>
        <v>0</v>
      </c>
      <c r="R36" s="104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7">
        <f t="shared" si="0"/>
        <v>0</v>
      </c>
      <c r="R37" s="104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1420</v>
      </c>
      <c r="D38" s="6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7">
        <f>SUM(E38:P38)</f>
        <v>0</v>
      </c>
      <c r="R38" s="104"/>
      <c r="S38" s="6">
        <f t="shared" si="1"/>
        <v>1420</v>
      </c>
      <c r="T38" s="6">
        <v>-1340</v>
      </c>
      <c r="U38" s="6">
        <f t="shared" si="2"/>
        <v>80</v>
      </c>
      <c r="V38" s="52"/>
      <c r="W38" s="57"/>
      <c r="X38" s="46"/>
      <c r="Y38" s="61"/>
      <c r="Z38" s="66">
        <f t="shared" si="3"/>
        <v>-1420</v>
      </c>
      <c r="AA38" s="61"/>
      <c r="AB38" s="64"/>
      <c r="AC38" s="61"/>
      <c r="AD38" s="66"/>
      <c r="AE38" s="61"/>
      <c r="AF38" s="52">
        <f t="shared" si="4"/>
        <v>-1420</v>
      </c>
      <c r="AG38" s="46">
        <f t="shared" si="5"/>
        <v>-1340</v>
      </c>
      <c r="AH38" s="51">
        <f t="shared" si="6"/>
        <v>-2760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04"/>
      <c r="F39" s="104"/>
      <c r="G39" s="104">
        <v>7380</v>
      </c>
      <c r="H39" s="104"/>
      <c r="I39" s="104"/>
      <c r="J39" s="104"/>
      <c r="K39" s="104"/>
      <c r="L39" s="104"/>
      <c r="M39" s="104"/>
      <c r="N39" s="104"/>
      <c r="O39" s="104"/>
      <c r="P39" s="104"/>
      <c r="Q39" s="7">
        <f>SUM(E39:P39)</f>
        <v>7380</v>
      </c>
      <c r="R39" s="104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f>10220+1000</f>
        <v>11220</v>
      </c>
      <c r="D40" s="6"/>
      <c r="E40" s="104"/>
      <c r="F40" s="104"/>
      <c r="G40" s="104">
        <v>3800</v>
      </c>
      <c r="H40" s="27"/>
      <c r="I40" s="104"/>
      <c r="J40" s="104"/>
      <c r="K40" s="104"/>
      <c r="L40" s="104"/>
      <c r="M40" s="104"/>
      <c r="N40" s="104"/>
      <c r="O40" s="104"/>
      <c r="P40" s="104"/>
      <c r="Q40" s="7">
        <f>SUM(E40:P40)</f>
        <v>3800</v>
      </c>
      <c r="R40" s="104">
        <v>1000</v>
      </c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7">
        <f>SUM(E41:P41)</f>
        <v>0</v>
      </c>
      <c r="R41" s="104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7">
        <f>SUM(E42:P42)</f>
        <v>0</v>
      </c>
      <c r="R42" s="104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7">
        <f t="shared" si="0"/>
        <v>0</v>
      </c>
      <c r="R44" s="104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7">
        <f t="shared" si="0"/>
        <v>0</v>
      </c>
      <c r="R45" s="104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7">
        <f t="shared" si="0"/>
        <v>0</v>
      </c>
      <c r="R46" s="104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7">
        <f t="shared" si="0"/>
        <v>0</v>
      </c>
      <c r="R47" s="104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7">
        <f t="shared" si="0"/>
        <v>0</v>
      </c>
      <c r="R48" s="104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7">
        <f t="shared" si="0"/>
        <v>0</v>
      </c>
      <c r="R49" s="104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16075</v>
      </c>
      <c r="D50" s="6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7">
        <f t="shared" si="0"/>
        <v>0</v>
      </c>
      <c r="R50" s="104"/>
      <c r="S50" s="6">
        <f t="shared" si="1"/>
        <v>16075</v>
      </c>
      <c r="T50" s="6">
        <f>-12000+8615</f>
        <v>-3385</v>
      </c>
      <c r="U50" s="6">
        <f t="shared" si="2"/>
        <v>12690</v>
      </c>
      <c r="V50" s="52"/>
      <c r="W50" s="57"/>
      <c r="X50" s="46"/>
      <c r="Y50" s="61"/>
      <c r="Z50" s="66">
        <f t="shared" si="3"/>
        <v>-16075</v>
      </c>
      <c r="AA50" s="61"/>
      <c r="AB50" s="64"/>
      <c r="AC50" s="61"/>
      <c r="AD50" s="66"/>
      <c r="AE50" s="61"/>
      <c r="AF50" s="52">
        <f t="shared" si="4"/>
        <v>-16075</v>
      </c>
      <c r="AG50" s="46">
        <f t="shared" si="5"/>
        <v>-3385</v>
      </c>
      <c r="AH50" s="51">
        <f t="shared" si="6"/>
        <v>-19460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7">
        <f t="shared" si="0"/>
        <v>0</v>
      </c>
      <c r="R51" s="104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2510</v>
      </c>
      <c r="D52" s="6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7">
        <f t="shared" si="0"/>
        <v>0</v>
      </c>
      <c r="R52" s="104"/>
      <c r="S52" s="6">
        <f t="shared" si="1"/>
        <v>2510</v>
      </c>
      <c r="T52" s="6">
        <v>-2510</v>
      </c>
      <c r="U52" s="6">
        <f t="shared" si="2"/>
        <v>0</v>
      </c>
      <c r="V52" s="52"/>
      <c r="W52" s="57"/>
      <c r="X52" s="46"/>
      <c r="Y52" s="61"/>
      <c r="Z52" s="66">
        <f t="shared" si="3"/>
        <v>-2510</v>
      </c>
      <c r="AA52" s="61"/>
      <c r="AB52" s="67"/>
      <c r="AC52" s="61"/>
      <c r="AD52" s="66"/>
      <c r="AE52" s="61"/>
      <c r="AF52" s="52">
        <f t="shared" si="4"/>
        <v>-2510</v>
      </c>
      <c r="AG52" s="46">
        <f t="shared" si="5"/>
        <v>-2510</v>
      </c>
      <c r="AH52" s="51">
        <f t="shared" si="6"/>
        <v>-5020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7">
        <f t="shared" si="0"/>
        <v>0</v>
      </c>
      <c r="R53" s="104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7950</v>
      </c>
      <c r="D54" s="6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7">
        <f t="shared" si="0"/>
        <v>0</v>
      </c>
      <c r="R54" s="104"/>
      <c r="S54" s="6">
        <f t="shared" si="1"/>
        <v>7950</v>
      </c>
      <c r="T54" s="6">
        <v>-2850</v>
      </c>
      <c r="U54" s="6">
        <f t="shared" si="2"/>
        <v>5100</v>
      </c>
      <c r="V54" s="52"/>
      <c r="W54" s="57"/>
      <c r="X54" s="46"/>
      <c r="Y54" s="61"/>
      <c r="Z54" s="66">
        <f t="shared" si="3"/>
        <v>-7950</v>
      </c>
      <c r="AA54" s="61"/>
      <c r="AB54" s="67"/>
      <c r="AC54" s="61"/>
      <c r="AD54" s="66"/>
      <c r="AE54" s="61"/>
      <c r="AF54" s="52">
        <f t="shared" si="4"/>
        <v>-7950</v>
      </c>
      <c r="AG54" s="46">
        <f t="shared" si="5"/>
        <v>-2850</v>
      </c>
      <c r="AH54" s="51">
        <f t="shared" si="6"/>
        <v>-10800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7">
        <f t="shared" si="0"/>
        <v>0</v>
      </c>
      <c r="R55" s="104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7">
        <f>SUM(E56:P56)</f>
        <v>0</v>
      </c>
      <c r="R56" s="104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7">
        <f t="shared" si="0"/>
        <v>0</v>
      </c>
      <c r="R61" s="104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7">
        <f t="shared" si="0"/>
        <v>0</v>
      </c>
      <c r="R62" s="103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7">
        <f t="shared" si="0"/>
        <v>0</v>
      </c>
      <c r="R63" s="103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7">
        <f t="shared" si="0"/>
        <v>0</v>
      </c>
      <c r="R64" s="103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7">
        <f t="shared" si="0"/>
        <v>0</v>
      </c>
      <c r="R65" s="103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05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3700</v>
      </c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7">
        <f t="shared" si="0"/>
        <v>0</v>
      </c>
      <c r="R67" s="104"/>
      <c r="S67" s="6">
        <f t="shared" si="1"/>
        <v>3700</v>
      </c>
      <c r="T67" s="6">
        <v>-1525</v>
      </c>
      <c r="U67" s="6">
        <f t="shared" si="2"/>
        <v>2175</v>
      </c>
      <c r="V67" s="52"/>
      <c r="W67" s="57"/>
      <c r="X67" s="46"/>
      <c r="Y67" s="61"/>
      <c r="Z67" s="66">
        <f t="shared" si="3"/>
        <v>-3700</v>
      </c>
      <c r="AA67" s="61"/>
      <c r="AB67" s="67"/>
      <c r="AC67" s="61"/>
      <c r="AD67" s="66"/>
      <c r="AE67" s="61"/>
      <c r="AF67" s="52">
        <f t="shared" si="4"/>
        <v>-3700</v>
      </c>
      <c r="AG67" s="46">
        <f t="shared" si="5"/>
        <v>-1525</v>
      </c>
      <c r="AH67" s="51">
        <f t="shared" si="6"/>
        <v>-5225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7">
        <f t="shared" si="0"/>
        <v>0</v>
      </c>
      <c r="R68" s="104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29450</v>
      </c>
      <c r="D69" s="104"/>
      <c r="E69" s="104"/>
      <c r="F69" s="104"/>
      <c r="G69" s="104">
        <v>4850</v>
      </c>
      <c r="H69" s="104"/>
      <c r="I69" s="104"/>
      <c r="J69" s="104"/>
      <c r="K69" s="104"/>
      <c r="L69" s="104"/>
      <c r="M69" s="104"/>
      <c r="N69" s="104"/>
      <c r="O69" s="104"/>
      <c r="P69" s="104"/>
      <c r="Q69" s="7">
        <f t="shared" si="0"/>
        <v>4850</v>
      </c>
      <c r="R69" s="104">
        <v>300</v>
      </c>
      <c r="S69" s="6">
        <f t="shared" si="1"/>
        <v>29150</v>
      </c>
      <c r="T69" s="6">
        <v>-16950</v>
      </c>
      <c r="U69" s="6">
        <f t="shared" si="2"/>
        <v>12200</v>
      </c>
      <c r="V69" s="52"/>
      <c r="W69" s="57"/>
      <c r="X69" s="46"/>
      <c r="Y69" s="61"/>
      <c r="Z69" s="66">
        <f t="shared" si="3"/>
        <v>-29150</v>
      </c>
      <c r="AA69" s="61"/>
      <c r="AB69" s="64"/>
      <c r="AC69" s="61"/>
      <c r="AD69" s="66"/>
      <c r="AE69" s="61"/>
      <c r="AF69" s="52">
        <f t="shared" si="4"/>
        <v>-29150</v>
      </c>
      <c r="AG69" s="46">
        <f t="shared" si="5"/>
        <v>-16950</v>
      </c>
      <c r="AH69" s="51">
        <f t="shared" si="6"/>
        <v>-46100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12450</v>
      </c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7">
        <f t="shared" si="0"/>
        <v>0</v>
      </c>
      <c r="R70" s="104"/>
      <c r="S70" s="6">
        <f t="shared" si="1"/>
        <v>12450</v>
      </c>
      <c r="T70" s="6">
        <v>-9425</v>
      </c>
      <c r="U70" s="6">
        <f t="shared" si="2"/>
        <v>3025</v>
      </c>
      <c r="V70" s="52"/>
      <c r="W70" s="57"/>
      <c r="X70" s="46"/>
      <c r="Y70" s="61"/>
      <c r="Z70" s="66">
        <f t="shared" si="3"/>
        <v>-12450</v>
      </c>
      <c r="AA70" s="61"/>
      <c r="AB70" s="67"/>
      <c r="AC70" s="61"/>
      <c r="AD70" s="66"/>
      <c r="AE70" s="61"/>
      <c r="AF70" s="52">
        <f t="shared" si="4"/>
        <v>-12450</v>
      </c>
      <c r="AG70" s="46">
        <f t="shared" si="5"/>
        <v>-9425</v>
      </c>
      <c r="AH70" s="51">
        <f t="shared" si="6"/>
        <v>-21875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33425</v>
      </c>
      <c r="D71" s="104"/>
      <c r="E71" s="104"/>
      <c r="F71" s="104"/>
      <c r="G71" s="104">
        <v>5000</v>
      </c>
      <c r="H71" s="104"/>
      <c r="I71" s="104"/>
      <c r="J71" s="104"/>
      <c r="K71" s="104"/>
      <c r="L71" s="104"/>
      <c r="M71" s="104"/>
      <c r="N71" s="104"/>
      <c r="O71" s="104"/>
      <c r="P71" s="104"/>
      <c r="Q71" s="7">
        <f t="shared" si="0"/>
        <v>5000</v>
      </c>
      <c r="R71" s="104"/>
      <c r="S71" s="6">
        <f t="shared" si="1"/>
        <v>33425</v>
      </c>
      <c r="T71" s="6">
        <v>-27500</v>
      </c>
      <c r="U71" s="6">
        <f t="shared" si="2"/>
        <v>5925</v>
      </c>
      <c r="V71" s="52"/>
      <c r="W71" s="57"/>
      <c r="X71" s="46"/>
      <c r="Y71" s="61"/>
      <c r="Z71" s="66">
        <f t="shared" si="3"/>
        <v>-33425</v>
      </c>
      <c r="AA71" s="61"/>
      <c r="AB71" s="64"/>
      <c r="AC71" s="61"/>
      <c r="AD71" s="66"/>
      <c r="AE71" s="61"/>
      <c r="AF71" s="52">
        <f t="shared" si="4"/>
        <v>-33425</v>
      </c>
      <c r="AG71" s="46">
        <f t="shared" si="5"/>
        <v>-27500</v>
      </c>
      <c r="AH71" s="51">
        <f t="shared" si="6"/>
        <v>-60925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04">
        <f>SUM(C7:C72)</f>
        <v>407610</v>
      </c>
      <c r="D73" s="104">
        <f t="shared" ref="D73:V73" si="11">SUM(D7:D72)</f>
        <v>29250</v>
      </c>
      <c r="E73" s="104">
        <f t="shared" si="11"/>
        <v>0</v>
      </c>
      <c r="F73" s="104">
        <f t="shared" si="11"/>
        <v>0</v>
      </c>
      <c r="G73" s="104">
        <f t="shared" si="11"/>
        <v>55455</v>
      </c>
      <c r="H73" s="27">
        <f t="shared" si="11"/>
        <v>0</v>
      </c>
      <c r="I73" s="104">
        <f t="shared" si="11"/>
        <v>0</v>
      </c>
      <c r="J73" s="104">
        <f t="shared" si="11"/>
        <v>0</v>
      </c>
      <c r="K73" s="104">
        <f t="shared" si="11"/>
        <v>2000</v>
      </c>
      <c r="L73" s="104">
        <f t="shared" si="11"/>
        <v>0</v>
      </c>
      <c r="M73" s="104">
        <f t="shared" si="11"/>
        <v>0</v>
      </c>
      <c r="N73" s="104">
        <f t="shared" si="11"/>
        <v>0</v>
      </c>
      <c r="O73" s="104">
        <f t="shared" si="11"/>
        <v>0</v>
      </c>
      <c r="P73" s="104">
        <f t="shared" si="11"/>
        <v>0</v>
      </c>
      <c r="Q73" s="104">
        <f t="shared" si="11"/>
        <v>57455</v>
      </c>
      <c r="R73" s="104">
        <f t="shared" si="11"/>
        <v>6900</v>
      </c>
      <c r="S73" s="104">
        <f t="shared" si="11"/>
        <v>429960</v>
      </c>
      <c r="T73" s="104">
        <f t="shared" si="11"/>
        <v>-286670</v>
      </c>
      <c r="U73" s="104">
        <f t="shared" si="11"/>
        <v>143290</v>
      </c>
      <c r="V73" s="104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-429960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-429960</v>
      </c>
      <c r="AG73" s="43">
        <f t="shared" si="12"/>
        <v>-286670</v>
      </c>
      <c r="AH73" s="43">
        <f t="shared" si="12"/>
        <v>-716630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57455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</f>
        <v>122220</v>
      </c>
      <c r="S74" s="211"/>
      <c r="T74" s="212">
        <f>R74+R75</f>
        <v>222545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29250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</f>
        <v>100325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6900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</f>
        <v>181060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</f>
        <v>41600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41600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55700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31005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139460</v>
      </c>
      <c r="S80" s="197"/>
      <c r="T80" s="22"/>
      <c r="U80" s="22"/>
      <c r="V80" s="2"/>
      <c r="X80" s="63">
        <f>SUM(X77:X79)</f>
        <v>86705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06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/>
      <c r="S92" s="36">
        <v>6</v>
      </c>
      <c r="T92" s="36"/>
      <c r="U92" s="36">
        <v>6</v>
      </c>
      <c r="V92" s="36"/>
      <c r="W92" s="36"/>
      <c r="X92" s="36">
        <f t="shared" si="13"/>
        <v>0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0</v>
      </c>
      <c r="R118" s="63">
        <f t="shared" si="14"/>
        <v>44550</v>
      </c>
      <c r="S118" s="63"/>
      <c r="T118" s="63">
        <f>SUM(T87:T117)</f>
        <v>187960</v>
      </c>
      <c r="U118" s="63"/>
      <c r="V118" s="63">
        <f>SUM(V87:V117)</f>
        <v>179675</v>
      </c>
      <c r="W118" s="63">
        <f>SUM(W87:W117)</f>
        <v>129575</v>
      </c>
      <c r="X118" s="36">
        <f>SUM(V118:W118)</f>
        <v>309250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5" activePane="bottomRight" state="frozen"/>
      <selection activeCell="O32" sqref="O32"/>
      <selection pane="topRight" activeCell="O32" sqref="O32"/>
      <selection pane="bottomLeft" activeCell="O32" sqref="O32"/>
      <selection pane="bottomRight" activeCell="P73" sqref="P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156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157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17600</v>
      </c>
      <c r="D7" s="6"/>
      <c r="E7" s="6"/>
      <c r="F7" s="6"/>
      <c r="G7" s="6"/>
      <c r="H7" s="6"/>
      <c r="I7" s="6"/>
      <c r="J7" s="6"/>
      <c r="K7" s="6"/>
      <c r="L7" s="6"/>
      <c r="M7" s="6"/>
      <c r="N7" s="6">
        <v>2000</v>
      </c>
      <c r="O7" s="6"/>
      <c r="P7" s="6"/>
      <c r="Q7" s="7">
        <f t="shared" ref="Q7:Q71" si="0">SUM(E7:P7)</f>
        <v>2000</v>
      </c>
      <c r="R7" s="6">
        <f>500+500+700+1000+500</f>
        <v>3200</v>
      </c>
      <c r="S7" s="6">
        <f>C7+D7-R7</f>
        <v>14400</v>
      </c>
      <c r="T7" s="34">
        <v>-9150</v>
      </c>
      <c r="U7" s="6">
        <f>S7+T7</f>
        <v>5250</v>
      </c>
      <c r="V7" s="52"/>
      <c r="W7" s="57"/>
      <c r="X7" s="46"/>
      <c r="Y7" s="65"/>
      <c r="Z7" s="66">
        <f>W7-S7</f>
        <v>-14400</v>
      </c>
      <c r="AA7" s="65"/>
      <c r="AB7" s="67"/>
      <c r="AC7" s="65"/>
      <c r="AD7" s="47"/>
      <c r="AE7" s="61"/>
      <c r="AF7" s="52">
        <f>SUM(Y7:AE7)</f>
        <v>-14400</v>
      </c>
      <c r="AG7" s="46">
        <f>U7+AF7</f>
        <v>-9150</v>
      </c>
      <c r="AH7" s="51">
        <f>AG7-S7</f>
        <v>-23550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31200</v>
      </c>
      <c r="D8" s="6">
        <v>8750</v>
      </c>
      <c r="E8" s="6"/>
      <c r="F8" s="6"/>
      <c r="G8" s="6"/>
      <c r="H8" s="6"/>
      <c r="I8" s="6"/>
      <c r="J8" s="6"/>
      <c r="K8" s="6"/>
      <c r="L8" s="6"/>
      <c r="M8" s="6"/>
      <c r="N8" s="6">
        <v>3000</v>
      </c>
      <c r="O8" s="6"/>
      <c r="P8" s="6"/>
      <c r="Q8" s="7">
        <f t="shared" si="0"/>
        <v>3000</v>
      </c>
      <c r="R8" s="6">
        <f>1000+3950+1200+1700+1500</f>
        <v>9350</v>
      </c>
      <c r="S8" s="6">
        <f t="shared" ref="S8:S71" si="1">C8+D8-R8</f>
        <v>30600</v>
      </c>
      <c r="T8" s="6">
        <v>-24350</v>
      </c>
      <c r="U8" s="6">
        <f t="shared" ref="U8:U71" si="2">S8+T8</f>
        <v>6250</v>
      </c>
      <c r="V8" s="52"/>
      <c r="W8" s="57"/>
      <c r="X8" s="46"/>
      <c r="Y8" s="61"/>
      <c r="Z8" s="66">
        <f t="shared" ref="Z8:Z71" si="3">W8-S8</f>
        <v>-30600</v>
      </c>
      <c r="AA8" s="61"/>
      <c r="AB8" s="67"/>
      <c r="AC8" s="61"/>
      <c r="AD8" s="66"/>
      <c r="AE8" s="61"/>
      <c r="AF8" s="52">
        <f t="shared" ref="AF8:AF71" si="4">SUM(Y8:AE8)</f>
        <v>-30600</v>
      </c>
      <c r="AG8" s="46">
        <f t="shared" ref="AG8:AG71" si="5">U8+AF8</f>
        <v>-24350</v>
      </c>
      <c r="AH8" s="51">
        <f t="shared" ref="AH8:AH71" si="6">AG8-S8</f>
        <v>-54950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f>5050+800</f>
        <v>5850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500+150+1000+200+250</f>
        <v>2100</v>
      </c>
      <c r="S11" s="6">
        <f t="shared" si="1"/>
        <v>3750</v>
      </c>
      <c r="T11" s="6">
        <v>-3750</v>
      </c>
      <c r="U11" s="6">
        <f t="shared" si="2"/>
        <v>0</v>
      </c>
      <c r="V11" s="52"/>
      <c r="W11" s="57"/>
      <c r="X11" s="46"/>
      <c r="Y11" s="61"/>
      <c r="Z11" s="66">
        <f t="shared" si="3"/>
        <v>-3750</v>
      </c>
      <c r="AA11" s="61"/>
      <c r="AB11" s="67"/>
      <c r="AC11" s="61"/>
      <c r="AD11" s="66"/>
      <c r="AE11" s="61"/>
      <c r="AF11" s="52">
        <f t="shared" si="4"/>
        <v>-3750</v>
      </c>
      <c r="AG11" s="46">
        <f t="shared" si="5"/>
        <v>-3750</v>
      </c>
      <c r="AH11" s="51">
        <f t="shared" si="6"/>
        <v>-7500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1650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f>1000+1000+1000+600</f>
        <v>3600</v>
      </c>
      <c r="S12" s="6">
        <f t="shared" si="1"/>
        <v>-1950</v>
      </c>
      <c r="T12" s="6">
        <v>4700</v>
      </c>
      <c r="U12" s="6">
        <f t="shared" si="2"/>
        <v>2750</v>
      </c>
      <c r="V12" s="52"/>
      <c r="W12" s="57"/>
      <c r="X12" s="46"/>
      <c r="Y12" s="61"/>
      <c r="Z12" s="66">
        <f t="shared" si="3"/>
        <v>1950</v>
      </c>
      <c r="AA12" s="61"/>
      <c r="AB12" s="67"/>
      <c r="AC12" s="61"/>
      <c r="AD12" s="66"/>
      <c r="AE12" s="61"/>
      <c r="AF12" s="52">
        <f t="shared" si="4"/>
        <v>1950</v>
      </c>
      <c r="AG12" s="46">
        <f t="shared" si="5"/>
        <v>4700</v>
      </c>
      <c r="AH12" s="51">
        <f t="shared" si="6"/>
        <v>6650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28960</v>
      </c>
      <c r="D14" s="6">
        <f>5000+9700</f>
        <v>14700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3000+1000+6000+4250+900+1000+2500+2500</f>
        <v>21150</v>
      </c>
      <c r="S14" s="6">
        <f t="shared" si="1"/>
        <v>22510</v>
      </c>
      <c r="T14" s="6">
        <v>-5760</v>
      </c>
      <c r="U14" s="6">
        <f t="shared" si="2"/>
        <v>16750</v>
      </c>
      <c r="V14" s="52"/>
      <c r="W14" s="57"/>
      <c r="X14" s="46"/>
      <c r="Y14" s="61"/>
      <c r="Z14" s="66">
        <f t="shared" si="3"/>
        <v>-22510</v>
      </c>
      <c r="AA14" s="61"/>
      <c r="AB14" s="66"/>
      <c r="AC14" s="61"/>
      <c r="AD14" s="66"/>
      <c r="AE14" s="61"/>
      <c r="AF14" s="52">
        <f t="shared" si="4"/>
        <v>-22510</v>
      </c>
      <c r="AG14" s="46">
        <f t="shared" si="5"/>
        <v>-5760</v>
      </c>
      <c r="AH14" s="51">
        <f t="shared" si="6"/>
        <v>-28270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f>13650-800</f>
        <v>12850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/>
      <c r="S16" s="6">
        <f t="shared" si="1"/>
        <v>12850</v>
      </c>
      <c r="T16" s="34">
        <v>-10050</v>
      </c>
      <c r="U16" s="6">
        <f t="shared" si="2"/>
        <v>2800</v>
      </c>
      <c r="V16" s="52"/>
      <c r="W16" s="57"/>
      <c r="X16" s="46"/>
      <c r="Y16" s="61"/>
      <c r="Z16" s="66">
        <f t="shared" si="3"/>
        <v>-12850</v>
      </c>
      <c r="AA16" s="61"/>
      <c r="AB16" s="67"/>
      <c r="AC16" s="61"/>
      <c r="AD16" s="47"/>
      <c r="AE16" s="61"/>
      <c r="AF16" s="52">
        <f t="shared" si="4"/>
        <v>-12850</v>
      </c>
      <c r="AG16" s="46">
        <f t="shared" si="5"/>
        <v>-10050</v>
      </c>
      <c r="AH16" s="51">
        <f t="shared" si="6"/>
        <v>-22900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10250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v>1000</v>
      </c>
      <c r="S17" s="6">
        <f t="shared" si="1"/>
        <v>9250</v>
      </c>
      <c r="T17" s="6">
        <v>-5000</v>
      </c>
      <c r="U17" s="6">
        <f t="shared" si="2"/>
        <v>4250</v>
      </c>
      <c r="V17" s="52"/>
      <c r="W17" s="57"/>
      <c r="X17" s="46"/>
      <c r="Y17" s="61"/>
      <c r="Z17" s="66">
        <f t="shared" si="3"/>
        <v>-9250</v>
      </c>
      <c r="AA17" s="61"/>
      <c r="AB17" s="66"/>
      <c r="AC17" s="61"/>
      <c r="AD17" s="66"/>
      <c r="AE17" s="61"/>
      <c r="AF17" s="52">
        <f t="shared" si="4"/>
        <v>-9250</v>
      </c>
      <c r="AG17" s="46">
        <f t="shared" si="5"/>
        <v>-5000</v>
      </c>
      <c r="AH17" s="51">
        <f t="shared" si="6"/>
        <v>-14250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9570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>
        <v>20</v>
      </c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3265</v>
      </c>
      <c r="T20" s="6">
        <v>-1605</v>
      </c>
      <c r="U20" s="6">
        <f t="shared" si="2"/>
        <v>1660</v>
      </c>
      <c r="V20" s="52"/>
      <c r="W20" s="57"/>
      <c r="X20" s="46"/>
      <c r="Y20" s="61"/>
      <c r="Z20" s="66">
        <f t="shared" si="3"/>
        <v>-3265</v>
      </c>
      <c r="AA20" s="61"/>
      <c r="AB20" s="67"/>
      <c r="AC20" s="61"/>
      <c r="AD20" s="66"/>
      <c r="AE20" s="61"/>
      <c r="AF20" s="52">
        <f t="shared" si="4"/>
        <v>-3265</v>
      </c>
      <c r="AG20" s="46">
        <f t="shared" si="5"/>
        <v>-1605</v>
      </c>
      <c r="AH20" s="51">
        <f t="shared" si="6"/>
        <v>-4870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7">
        <f t="shared" si="0"/>
        <v>0</v>
      </c>
      <c r="R22" s="110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7">
        <f t="shared" si="0"/>
        <v>0</v>
      </c>
      <c r="R24" s="110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7">
        <f t="shared" si="0"/>
        <v>0</v>
      </c>
      <c r="R25" s="110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7">
        <f t="shared" si="0"/>
        <v>0</v>
      </c>
      <c r="R26" s="110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8060</v>
      </c>
      <c r="D27" s="6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7">
        <f t="shared" si="0"/>
        <v>0</v>
      </c>
      <c r="R27" s="110">
        <v>300</v>
      </c>
      <c r="S27" s="6">
        <f t="shared" si="1"/>
        <v>7760</v>
      </c>
      <c r="T27" s="6">
        <v>-40</v>
      </c>
      <c r="U27" s="6">
        <f t="shared" si="2"/>
        <v>7720</v>
      </c>
      <c r="V27" s="52"/>
      <c r="W27" s="57"/>
      <c r="X27" s="46"/>
      <c r="Y27" s="61"/>
      <c r="Z27" s="66">
        <f t="shared" si="3"/>
        <v>-7760</v>
      </c>
      <c r="AA27" s="61"/>
      <c r="AB27" s="67"/>
      <c r="AC27" s="61"/>
      <c r="AD27" s="66"/>
      <c r="AE27" s="61"/>
      <c r="AF27" s="52">
        <f t="shared" si="4"/>
        <v>-7760</v>
      </c>
      <c r="AG27" s="46">
        <f t="shared" si="5"/>
        <v>-40</v>
      </c>
      <c r="AH27" s="51">
        <f t="shared" si="6"/>
        <v>-7800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1960</v>
      </c>
      <c r="D28" s="6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7">
        <f t="shared" si="0"/>
        <v>0</v>
      </c>
      <c r="R28" s="110"/>
      <c r="S28" s="6">
        <f t="shared" si="1"/>
        <v>1960</v>
      </c>
      <c r="T28" s="6">
        <f>-40-100</f>
        <v>-140</v>
      </c>
      <c r="U28" s="6">
        <f t="shared" si="2"/>
        <v>1820</v>
      </c>
      <c r="V28" s="52"/>
      <c r="W28" s="57"/>
      <c r="X28" s="46"/>
      <c r="Y28" s="61"/>
      <c r="Z28" s="66">
        <f t="shared" si="3"/>
        <v>-1960</v>
      </c>
      <c r="AA28" s="61"/>
      <c r="AB28" s="67"/>
      <c r="AC28" s="61"/>
      <c r="AD28" s="66"/>
      <c r="AE28" s="61"/>
      <c r="AF28" s="52">
        <f t="shared" si="4"/>
        <v>-1960</v>
      </c>
      <c r="AG28" s="46">
        <f t="shared" si="5"/>
        <v>-140</v>
      </c>
      <c r="AH28" s="51">
        <f t="shared" si="6"/>
        <v>-2100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-960</v>
      </c>
      <c r="D29" s="6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7">
        <f t="shared" si="0"/>
        <v>0</v>
      </c>
      <c r="R29" s="110"/>
      <c r="S29" s="6">
        <f t="shared" si="1"/>
        <v>-960</v>
      </c>
      <c r="T29" s="6">
        <f>860+100</f>
        <v>960</v>
      </c>
      <c r="U29" s="6">
        <f t="shared" si="2"/>
        <v>0</v>
      </c>
      <c r="V29" s="52"/>
      <c r="W29" s="57"/>
      <c r="X29" s="46"/>
      <c r="Y29" s="61"/>
      <c r="Z29" s="66">
        <f t="shared" si="3"/>
        <v>960</v>
      </c>
      <c r="AA29" s="61"/>
      <c r="AB29" s="67"/>
      <c r="AC29" s="61"/>
      <c r="AD29" s="66"/>
      <c r="AE29" s="61"/>
      <c r="AF29" s="52">
        <f t="shared" si="4"/>
        <v>960</v>
      </c>
      <c r="AG29" s="46">
        <f t="shared" si="5"/>
        <v>960</v>
      </c>
      <c r="AH29" s="51">
        <f t="shared" si="6"/>
        <v>1920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7">
        <f t="shared" si="0"/>
        <v>0</v>
      </c>
      <c r="R30" s="110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19880</v>
      </c>
      <c r="D31" s="6"/>
      <c r="E31" s="110"/>
      <c r="F31" s="110"/>
      <c r="G31" s="110"/>
      <c r="H31" s="110"/>
      <c r="I31" s="110"/>
      <c r="J31" s="110"/>
      <c r="K31" s="110">
        <v>2000</v>
      </c>
      <c r="L31" s="110"/>
      <c r="M31" s="110"/>
      <c r="N31" s="110"/>
      <c r="O31" s="110"/>
      <c r="P31" s="110"/>
      <c r="Q31" s="7">
        <f t="shared" si="0"/>
        <v>2000</v>
      </c>
      <c r="R31" s="110"/>
      <c r="S31" s="6">
        <f t="shared" si="1"/>
        <v>19880</v>
      </c>
      <c r="T31" s="6">
        <v>-17180</v>
      </c>
      <c r="U31" s="6">
        <f t="shared" si="2"/>
        <v>2700</v>
      </c>
      <c r="V31" s="52"/>
      <c r="W31" s="57"/>
      <c r="X31" s="46"/>
      <c r="Y31" s="61"/>
      <c r="Z31" s="66">
        <f t="shared" si="3"/>
        <v>-19880</v>
      </c>
      <c r="AA31" s="61"/>
      <c r="AB31" s="64"/>
      <c r="AC31" s="61"/>
      <c r="AD31" s="66"/>
      <c r="AE31" s="61"/>
      <c r="AF31" s="52">
        <f t="shared" si="4"/>
        <v>-19880</v>
      </c>
      <c r="AG31" s="46">
        <f t="shared" si="5"/>
        <v>-17180</v>
      </c>
      <c r="AH31" s="51">
        <f t="shared" si="6"/>
        <v>-37060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24120</v>
      </c>
      <c r="D32" s="6">
        <v>4540</v>
      </c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6"/>
      <c r="P32" s="6"/>
      <c r="Q32" s="7">
        <f>SUM(E32:P32)</f>
        <v>0</v>
      </c>
      <c r="R32" s="110"/>
      <c r="S32" s="6">
        <f t="shared" si="1"/>
        <v>28660</v>
      </c>
      <c r="T32" s="6">
        <v>-18280</v>
      </c>
      <c r="U32" s="6">
        <f t="shared" si="2"/>
        <v>10380</v>
      </c>
      <c r="V32" s="52"/>
      <c r="W32" s="57"/>
      <c r="X32" s="46"/>
      <c r="Y32" s="61"/>
      <c r="Z32" s="66">
        <f t="shared" si="3"/>
        <v>-28660</v>
      </c>
      <c r="AA32" s="61"/>
      <c r="AB32" s="67"/>
      <c r="AC32" s="61"/>
      <c r="AD32" s="66"/>
      <c r="AE32" s="61"/>
      <c r="AF32" s="52">
        <f t="shared" si="4"/>
        <v>-28660</v>
      </c>
      <c r="AG32" s="46">
        <f t="shared" si="5"/>
        <v>-18280</v>
      </c>
      <c r="AH32" s="51">
        <f t="shared" si="6"/>
        <v>-46940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7">
        <f t="shared" si="0"/>
        <v>0</v>
      </c>
      <c r="R33" s="110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10"/>
      <c r="F34" s="110"/>
      <c r="G34" s="110"/>
      <c r="H34" s="110"/>
      <c r="I34" s="110"/>
      <c r="J34" s="110"/>
      <c r="K34" s="6"/>
      <c r="L34" s="110"/>
      <c r="M34" s="110"/>
      <c r="N34" s="110"/>
      <c r="O34" s="110"/>
      <c r="P34" s="110"/>
      <c r="Q34" s="7">
        <f t="shared" si="0"/>
        <v>0</v>
      </c>
      <c r="R34" s="110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10"/>
      <c r="F35" s="110"/>
      <c r="G35" s="110"/>
      <c r="H35" s="110"/>
      <c r="I35" s="110"/>
      <c r="J35" s="110"/>
      <c r="K35" s="6"/>
      <c r="L35" s="110"/>
      <c r="M35" s="110"/>
      <c r="N35" s="110"/>
      <c r="O35" s="110"/>
      <c r="P35" s="110"/>
      <c r="Q35" s="7">
        <f t="shared" si="0"/>
        <v>0</v>
      </c>
      <c r="R35" s="110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7">
        <f t="shared" si="0"/>
        <v>0</v>
      </c>
      <c r="R36" s="110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7">
        <f t="shared" si="0"/>
        <v>0</v>
      </c>
      <c r="R37" s="110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1420</v>
      </c>
      <c r="D38" s="6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>
        <v>12000</v>
      </c>
      <c r="Q38" s="7">
        <f>SUM(E38:P38)</f>
        <v>12000</v>
      </c>
      <c r="R38" s="110"/>
      <c r="S38" s="6">
        <f t="shared" si="1"/>
        <v>1420</v>
      </c>
      <c r="T38" s="6">
        <v>-1340</v>
      </c>
      <c r="U38" s="6">
        <f t="shared" si="2"/>
        <v>80</v>
      </c>
      <c r="V38" s="52"/>
      <c r="W38" s="57"/>
      <c r="X38" s="46"/>
      <c r="Y38" s="61"/>
      <c r="Z38" s="66">
        <f t="shared" si="3"/>
        <v>-1420</v>
      </c>
      <c r="AA38" s="61"/>
      <c r="AB38" s="64"/>
      <c r="AC38" s="61"/>
      <c r="AD38" s="66"/>
      <c r="AE38" s="61"/>
      <c r="AF38" s="52">
        <f t="shared" si="4"/>
        <v>-1420</v>
      </c>
      <c r="AG38" s="46">
        <f t="shared" si="5"/>
        <v>-1340</v>
      </c>
      <c r="AH38" s="51">
        <f t="shared" si="6"/>
        <v>-2760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7">
        <f>SUM(E39:P39)</f>
        <v>0</v>
      </c>
      <c r="R39" s="110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110"/>
      <c r="F40" s="110"/>
      <c r="G40" s="110"/>
      <c r="H40" s="27"/>
      <c r="I40" s="110"/>
      <c r="J40" s="110"/>
      <c r="K40" s="110"/>
      <c r="L40" s="110"/>
      <c r="M40" s="110"/>
      <c r="N40" s="110"/>
      <c r="O40" s="110"/>
      <c r="P40" s="110"/>
      <c r="Q40" s="7">
        <f>SUM(E40:P40)</f>
        <v>0</v>
      </c>
      <c r="R40" s="110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f>340+100</f>
        <v>440</v>
      </c>
      <c r="D41" s="6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7">
        <f>SUM(E41:P41)</f>
        <v>0</v>
      </c>
      <c r="R41" s="110">
        <v>100</v>
      </c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7">
        <f>SUM(E42:P42)</f>
        <v>0</v>
      </c>
      <c r="R42" s="110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7">
        <f t="shared" si="0"/>
        <v>0</v>
      </c>
      <c r="R44" s="110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7">
        <f t="shared" si="0"/>
        <v>0</v>
      </c>
      <c r="R45" s="110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7">
        <f t="shared" si="0"/>
        <v>0</v>
      </c>
      <c r="R46" s="110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7">
        <f t="shared" si="0"/>
        <v>0</v>
      </c>
      <c r="R47" s="110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7">
        <f t="shared" si="0"/>
        <v>0</v>
      </c>
      <c r="R48" s="110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7">
        <f t="shared" si="0"/>
        <v>0</v>
      </c>
      <c r="R49" s="110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16075</v>
      </c>
      <c r="D50" s="6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7">
        <f t="shared" si="0"/>
        <v>0</v>
      </c>
      <c r="R50" s="110">
        <f>500+1000</f>
        <v>1500</v>
      </c>
      <c r="S50" s="6">
        <f t="shared" si="1"/>
        <v>14575</v>
      </c>
      <c r="T50" s="6">
        <f>-12000+8615</f>
        <v>-3385</v>
      </c>
      <c r="U50" s="6">
        <f t="shared" si="2"/>
        <v>11190</v>
      </c>
      <c r="V50" s="52"/>
      <c r="W50" s="57"/>
      <c r="X50" s="46"/>
      <c r="Y50" s="61"/>
      <c r="Z50" s="66">
        <f t="shared" si="3"/>
        <v>-14575</v>
      </c>
      <c r="AA50" s="61"/>
      <c r="AB50" s="64"/>
      <c r="AC50" s="61"/>
      <c r="AD50" s="66"/>
      <c r="AE50" s="61"/>
      <c r="AF50" s="52">
        <f t="shared" si="4"/>
        <v>-14575</v>
      </c>
      <c r="AG50" s="46">
        <f t="shared" si="5"/>
        <v>-3385</v>
      </c>
      <c r="AH50" s="51">
        <f t="shared" si="6"/>
        <v>-17960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7">
        <f t="shared" si="0"/>
        <v>0</v>
      </c>
      <c r="R51" s="110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2510</v>
      </c>
      <c r="D52" s="6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7">
        <f t="shared" si="0"/>
        <v>0</v>
      </c>
      <c r="R52" s="110"/>
      <c r="S52" s="6">
        <f t="shared" si="1"/>
        <v>2510</v>
      </c>
      <c r="T52" s="6">
        <v>-2510</v>
      </c>
      <c r="U52" s="6">
        <f t="shared" si="2"/>
        <v>0</v>
      </c>
      <c r="V52" s="52"/>
      <c r="W52" s="57"/>
      <c r="X52" s="46"/>
      <c r="Y52" s="61"/>
      <c r="Z52" s="66">
        <f t="shared" si="3"/>
        <v>-2510</v>
      </c>
      <c r="AA52" s="61"/>
      <c r="AB52" s="67"/>
      <c r="AC52" s="61"/>
      <c r="AD52" s="66"/>
      <c r="AE52" s="61"/>
      <c r="AF52" s="52">
        <f t="shared" si="4"/>
        <v>-2510</v>
      </c>
      <c r="AG52" s="46">
        <f t="shared" si="5"/>
        <v>-2510</v>
      </c>
      <c r="AH52" s="51">
        <f t="shared" si="6"/>
        <v>-5020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7">
        <f t="shared" si="0"/>
        <v>0</v>
      </c>
      <c r="R53" s="110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7950</v>
      </c>
      <c r="D54" s="6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7">
        <f t="shared" si="0"/>
        <v>0</v>
      </c>
      <c r="R54" s="110"/>
      <c r="S54" s="6">
        <f t="shared" si="1"/>
        <v>7950</v>
      </c>
      <c r="T54" s="6">
        <v>-2850</v>
      </c>
      <c r="U54" s="6">
        <f t="shared" si="2"/>
        <v>5100</v>
      </c>
      <c r="V54" s="52"/>
      <c r="W54" s="57"/>
      <c r="X54" s="46"/>
      <c r="Y54" s="61"/>
      <c r="Z54" s="66">
        <f t="shared" si="3"/>
        <v>-7950</v>
      </c>
      <c r="AA54" s="61"/>
      <c r="AB54" s="67"/>
      <c r="AC54" s="61"/>
      <c r="AD54" s="66"/>
      <c r="AE54" s="61"/>
      <c r="AF54" s="52">
        <f t="shared" si="4"/>
        <v>-7950</v>
      </c>
      <c r="AG54" s="46">
        <f t="shared" si="5"/>
        <v>-2850</v>
      </c>
      <c r="AH54" s="51">
        <f t="shared" si="6"/>
        <v>-10800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7">
        <f t="shared" si="0"/>
        <v>0</v>
      </c>
      <c r="R55" s="110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7">
        <f>SUM(E56:P56)</f>
        <v>0</v>
      </c>
      <c r="R56" s="110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7">
        <f t="shared" si="0"/>
        <v>0</v>
      </c>
      <c r="R61" s="110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7">
        <f t="shared" si="0"/>
        <v>0</v>
      </c>
      <c r="R62" s="109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7">
        <f t="shared" si="0"/>
        <v>0</v>
      </c>
      <c r="R63" s="109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7">
        <f t="shared" si="0"/>
        <v>0</v>
      </c>
      <c r="R64" s="109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7">
        <f t="shared" si="0"/>
        <v>0</v>
      </c>
      <c r="R65" s="109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08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3700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7">
        <f t="shared" si="0"/>
        <v>0</v>
      </c>
      <c r="R67" s="110">
        <f>250+1000</f>
        <v>1250</v>
      </c>
      <c r="S67" s="6">
        <f t="shared" si="1"/>
        <v>2450</v>
      </c>
      <c r="T67" s="6">
        <v>-1525</v>
      </c>
      <c r="U67" s="6">
        <f t="shared" si="2"/>
        <v>925</v>
      </c>
      <c r="V67" s="52"/>
      <c r="W67" s="57"/>
      <c r="X67" s="46"/>
      <c r="Y67" s="61"/>
      <c r="Z67" s="66">
        <f t="shared" si="3"/>
        <v>-2450</v>
      </c>
      <c r="AA67" s="61"/>
      <c r="AB67" s="67"/>
      <c r="AC67" s="61"/>
      <c r="AD67" s="66"/>
      <c r="AE67" s="61"/>
      <c r="AF67" s="52">
        <f t="shared" si="4"/>
        <v>-2450</v>
      </c>
      <c r="AG67" s="46">
        <f t="shared" si="5"/>
        <v>-1525</v>
      </c>
      <c r="AH67" s="51">
        <f t="shared" si="6"/>
        <v>-3975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7">
        <f t="shared" si="0"/>
        <v>0</v>
      </c>
      <c r="R68" s="110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29150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7">
        <f t="shared" si="0"/>
        <v>0</v>
      </c>
      <c r="R69" s="110">
        <f>1000+300+375+200+2000+1000</f>
        <v>4875</v>
      </c>
      <c r="S69" s="6">
        <f t="shared" si="1"/>
        <v>24275</v>
      </c>
      <c r="T69" s="6">
        <v>-16950</v>
      </c>
      <c r="U69" s="6">
        <f t="shared" si="2"/>
        <v>7325</v>
      </c>
      <c r="V69" s="52"/>
      <c r="W69" s="57"/>
      <c r="X69" s="46"/>
      <c r="Y69" s="61"/>
      <c r="Z69" s="66">
        <f t="shared" si="3"/>
        <v>-24275</v>
      </c>
      <c r="AA69" s="61"/>
      <c r="AB69" s="64"/>
      <c r="AC69" s="61"/>
      <c r="AD69" s="66"/>
      <c r="AE69" s="61"/>
      <c r="AF69" s="52">
        <f t="shared" si="4"/>
        <v>-24275</v>
      </c>
      <c r="AG69" s="46">
        <f t="shared" si="5"/>
        <v>-16950</v>
      </c>
      <c r="AH69" s="51">
        <f t="shared" si="6"/>
        <v>-41225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12450</v>
      </c>
      <c r="D70" s="110">
        <f>5000+6000</f>
        <v>11000</v>
      </c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7">
        <f t="shared" si="0"/>
        <v>0</v>
      </c>
      <c r="R70" s="110">
        <f>5500+2400+2000+500</f>
        <v>10400</v>
      </c>
      <c r="S70" s="6">
        <f t="shared" si="1"/>
        <v>13050</v>
      </c>
      <c r="T70" s="6">
        <v>-9425</v>
      </c>
      <c r="U70" s="6">
        <f t="shared" si="2"/>
        <v>3625</v>
      </c>
      <c r="V70" s="52"/>
      <c r="W70" s="57"/>
      <c r="X70" s="46"/>
      <c r="Y70" s="61"/>
      <c r="Z70" s="66">
        <f t="shared" si="3"/>
        <v>-13050</v>
      </c>
      <c r="AA70" s="61"/>
      <c r="AB70" s="67"/>
      <c r="AC70" s="61"/>
      <c r="AD70" s="66"/>
      <c r="AE70" s="61"/>
      <c r="AF70" s="52">
        <f t="shared" si="4"/>
        <v>-13050</v>
      </c>
      <c r="AG70" s="46">
        <f t="shared" si="5"/>
        <v>-9425</v>
      </c>
      <c r="AH70" s="51">
        <f t="shared" si="6"/>
        <v>-22475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33425</v>
      </c>
      <c r="D71" s="110">
        <f>21600+1575</f>
        <v>23175</v>
      </c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7">
        <f t="shared" si="0"/>
        <v>0</v>
      </c>
      <c r="R71" s="110">
        <f>3000+3475+125+875+2500</f>
        <v>9975</v>
      </c>
      <c r="S71" s="6">
        <f t="shared" si="1"/>
        <v>46625</v>
      </c>
      <c r="T71" s="6">
        <v>-27500</v>
      </c>
      <c r="U71" s="6">
        <f t="shared" si="2"/>
        <v>19125</v>
      </c>
      <c r="V71" s="52"/>
      <c r="W71" s="57"/>
      <c r="X71" s="46"/>
      <c r="Y71" s="61"/>
      <c r="Z71" s="66">
        <f t="shared" si="3"/>
        <v>-46625</v>
      </c>
      <c r="AA71" s="61"/>
      <c r="AB71" s="64"/>
      <c r="AC71" s="61"/>
      <c r="AD71" s="66"/>
      <c r="AE71" s="61"/>
      <c r="AF71" s="52">
        <f t="shared" si="4"/>
        <v>-46625</v>
      </c>
      <c r="AG71" s="46">
        <f t="shared" si="5"/>
        <v>-27500</v>
      </c>
      <c r="AH71" s="51">
        <f t="shared" si="6"/>
        <v>-74125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10">
        <f>SUM(C7:C72)</f>
        <v>430060</v>
      </c>
      <c r="D73" s="110">
        <f t="shared" ref="D73:V73" si="11">SUM(D7:D72)</f>
        <v>62165</v>
      </c>
      <c r="E73" s="110">
        <f t="shared" si="11"/>
        <v>0</v>
      </c>
      <c r="F73" s="110">
        <f t="shared" si="11"/>
        <v>0</v>
      </c>
      <c r="G73" s="110">
        <f t="shared" si="11"/>
        <v>0</v>
      </c>
      <c r="H73" s="27">
        <f t="shared" si="11"/>
        <v>0</v>
      </c>
      <c r="I73" s="110">
        <f t="shared" si="11"/>
        <v>0</v>
      </c>
      <c r="J73" s="110">
        <f t="shared" si="11"/>
        <v>0</v>
      </c>
      <c r="K73" s="110">
        <f t="shared" si="11"/>
        <v>2000</v>
      </c>
      <c r="L73" s="110">
        <f t="shared" si="11"/>
        <v>0</v>
      </c>
      <c r="M73" s="110">
        <f t="shared" si="11"/>
        <v>0</v>
      </c>
      <c r="N73" s="110">
        <f t="shared" si="11"/>
        <v>5000</v>
      </c>
      <c r="O73" s="110">
        <f t="shared" si="11"/>
        <v>0</v>
      </c>
      <c r="P73" s="110">
        <f t="shared" si="11"/>
        <v>12000</v>
      </c>
      <c r="Q73" s="110">
        <f t="shared" si="11"/>
        <v>19000</v>
      </c>
      <c r="R73" s="110">
        <f t="shared" si="11"/>
        <v>68820</v>
      </c>
      <c r="S73" s="110">
        <f t="shared" si="11"/>
        <v>423405</v>
      </c>
      <c r="T73" s="110">
        <f t="shared" si="11"/>
        <v>-286670</v>
      </c>
      <c r="U73" s="110">
        <f t="shared" si="11"/>
        <v>136735</v>
      </c>
      <c r="V73" s="110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-423405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-423405</v>
      </c>
      <c r="AG73" s="43">
        <f t="shared" si="12"/>
        <v>-286670</v>
      </c>
      <c r="AH73" s="43">
        <f t="shared" si="12"/>
        <v>-710075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19000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</f>
        <v>198675</v>
      </c>
      <c r="S74" s="211"/>
      <c r="T74" s="212">
        <f>R74+R75</f>
        <v>390415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62165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</f>
        <v>191740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68820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</f>
        <v>256780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</f>
        <v>53850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53850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64050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17115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202930</v>
      </c>
      <c r="S80" s="197"/>
      <c r="T80" s="22"/>
      <c r="U80" s="22"/>
      <c r="V80" s="2"/>
      <c r="X80" s="63">
        <f>SUM(X77:X79)</f>
        <v>81165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07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/>
      <c r="S93" s="36">
        <v>7</v>
      </c>
      <c r="T93" s="36"/>
      <c r="U93" s="36">
        <v>7</v>
      </c>
      <c r="V93" s="36"/>
      <c r="W93" s="36"/>
      <c r="X93" s="36">
        <f t="shared" si="13"/>
        <v>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0</v>
      </c>
      <c r="R118" s="63">
        <f t="shared" si="14"/>
        <v>56800</v>
      </c>
      <c r="S118" s="63"/>
      <c r="T118" s="63">
        <f>SUM(T87:T117)</f>
        <v>256780</v>
      </c>
      <c r="U118" s="63"/>
      <c r="V118" s="63">
        <f>SUM(V87:V117)</f>
        <v>198675</v>
      </c>
      <c r="W118" s="63">
        <f>SUM(W87:W117)</f>
        <v>191740</v>
      </c>
      <c r="X118" s="36">
        <f>SUM(V118:W118)</f>
        <v>390415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2" activePane="bottomRight" state="frozen"/>
      <selection activeCell="O32" sqref="O32"/>
      <selection pane="topRight" activeCell="O32" sqref="O32"/>
      <selection pane="bottomLeft" activeCell="O32" sqref="O32"/>
      <selection pane="bottomRight" activeCell="P73" sqref="P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158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157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14400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v>1050</v>
      </c>
      <c r="S7" s="6">
        <f>C7+D7-R7</f>
        <v>13350</v>
      </c>
      <c r="T7" s="34">
        <v>-9150</v>
      </c>
      <c r="U7" s="6">
        <f>S7+T7</f>
        <v>4200</v>
      </c>
      <c r="V7" s="52"/>
      <c r="W7" s="57"/>
      <c r="X7" s="46"/>
      <c r="Y7" s="65"/>
      <c r="Z7" s="66">
        <f>W7-S7</f>
        <v>-13350</v>
      </c>
      <c r="AA7" s="65"/>
      <c r="AB7" s="67"/>
      <c r="AC7" s="65"/>
      <c r="AD7" s="47"/>
      <c r="AE7" s="61"/>
      <c r="AF7" s="52">
        <f>SUM(Y7:AE7)</f>
        <v>-13350</v>
      </c>
      <c r="AG7" s="46">
        <f>U7+AF7</f>
        <v>-9150</v>
      </c>
      <c r="AH7" s="51">
        <f>AG7-S7</f>
        <v>-22500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30600</v>
      </c>
      <c r="D8" s="6">
        <v>1000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1000+500</f>
        <v>1500</v>
      </c>
      <c r="S8" s="6">
        <f t="shared" ref="S8:S71" si="1">C8+D8-R8</f>
        <v>30100</v>
      </c>
      <c r="T8" s="6">
        <v>-24350</v>
      </c>
      <c r="U8" s="6">
        <f t="shared" ref="U8:U71" si="2">S8+T8</f>
        <v>5750</v>
      </c>
      <c r="V8" s="52"/>
      <c r="W8" s="57"/>
      <c r="X8" s="46"/>
      <c r="Y8" s="61"/>
      <c r="Z8" s="66">
        <f t="shared" ref="Z8:Z71" si="3">W8-S8</f>
        <v>-30100</v>
      </c>
      <c r="AA8" s="61"/>
      <c r="AB8" s="67"/>
      <c r="AC8" s="61"/>
      <c r="AD8" s="66"/>
      <c r="AE8" s="61"/>
      <c r="AF8" s="52">
        <f t="shared" ref="AF8:AF71" si="4">SUM(Y8:AE8)</f>
        <v>-30100</v>
      </c>
      <c r="AG8" s="46">
        <f t="shared" ref="AG8:AG71" si="5">U8+AF8</f>
        <v>-24350</v>
      </c>
      <c r="AH8" s="51">
        <f t="shared" ref="AH8:AH71" si="6">AG8-S8</f>
        <v>-54450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f>3750+1000</f>
        <v>4750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500+500</f>
        <v>1000</v>
      </c>
      <c r="S11" s="6">
        <f t="shared" si="1"/>
        <v>3750</v>
      </c>
      <c r="T11" s="6">
        <v>-3750</v>
      </c>
      <c r="U11" s="6">
        <f t="shared" si="2"/>
        <v>0</v>
      </c>
      <c r="V11" s="52"/>
      <c r="W11" s="57"/>
      <c r="X11" s="46"/>
      <c r="Y11" s="61"/>
      <c r="Z11" s="66">
        <f t="shared" si="3"/>
        <v>-3750</v>
      </c>
      <c r="AA11" s="61"/>
      <c r="AB11" s="67"/>
      <c r="AC11" s="61"/>
      <c r="AD11" s="66"/>
      <c r="AE11" s="61"/>
      <c r="AF11" s="52">
        <f t="shared" si="4"/>
        <v>-3750</v>
      </c>
      <c r="AG11" s="46">
        <f t="shared" si="5"/>
        <v>-3750</v>
      </c>
      <c r="AH11" s="51">
        <f t="shared" si="6"/>
        <v>-7500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-1950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1450</v>
      </c>
      <c r="S12" s="6">
        <f t="shared" si="1"/>
        <v>-3400</v>
      </c>
      <c r="T12" s="6">
        <v>4700</v>
      </c>
      <c r="U12" s="6">
        <f t="shared" si="2"/>
        <v>1300</v>
      </c>
      <c r="V12" s="52"/>
      <c r="W12" s="57"/>
      <c r="X12" s="46"/>
      <c r="Y12" s="61"/>
      <c r="Z12" s="66">
        <f t="shared" si="3"/>
        <v>3400</v>
      </c>
      <c r="AA12" s="61"/>
      <c r="AB12" s="67"/>
      <c r="AC12" s="61"/>
      <c r="AD12" s="66"/>
      <c r="AE12" s="61"/>
      <c r="AF12" s="52">
        <f t="shared" si="4"/>
        <v>3400</v>
      </c>
      <c r="AG12" s="46">
        <f t="shared" si="5"/>
        <v>4700</v>
      </c>
      <c r="AH12" s="51">
        <f t="shared" si="6"/>
        <v>8100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22510</v>
      </c>
      <c r="D14" s="6">
        <f>6950+2000+2000</f>
        <v>10950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2800+7000+5750+3000+1500+2000</f>
        <v>22050</v>
      </c>
      <c r="S14" s="6">
        <f t="shared" si="1"/>
        <v>11410</v>
      </c>
      <c r="T14" s="6">
        <v>-5760</v>
      </c>
      <c r="U14" s="6">
        <f t="shared" si="2"/>
        <v>5650</v>
      </c>
      <c r="V14" s="52"/>
      <c r="W14" s="57"/>
      <c r="X14" s="46"/>
      <c r="Y14" s="61"/>
      <c r="Z14" s="66">
        <f t="shared" si="3"/>
        <v>-11410</v>
      </c>
      <c r="AA14" s="61"/>
      <c r="AB14" s="66"/>
      <c r="AC14" s="61"/>
      <c r="AD14" s="66"/>
      <c r="AE14" s="61"/>
      <c r="AF14" s="52">
        <f t="shared" si="4"/>
        <v>-11410</v>
      </c>
      <c r="AG14" s="46">
        <f t="shared" si="5"/>
        <v>-5760</v>
      </c>
      <c r="AH14" s="51">
        <f t="shared" si="6"/>
        <v>-17170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f>12850-1000</f>
        <v>11850</v>
      </c>
      <c r="D16" s="6">
        <v>4850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f>4000+1500</f>
        <v>5500</v>
      </c>
      <c r="S16" s="6">
        <f t="shared" si="1"/>
        <v>11200</v>
      </c>
      <c r="T16" s="34">
        <v>-10050</v>
      </c>
      <c r="U16" s="6">
        <f t="shared" si="2"/>
        <v>1150</v>
      </c>
      <c r="V16" s="52"/>
      <c r="W16" s="57"/>
      <c r="X16" s="46"/>
      <c r="Y16" s="61"/>
      <c r="Z16" s="66">
        <f t="shared" si="3"/>
        <v>-11200</v>
      </c>
      <c r="AA16" s="61"/>
      <c r="AB16" s="67"/>
      <c r="AC16" s="61"/>
      <c r="AD16" s="47"/>
      <c r="AE16" s="61"/>
      <c r="AF16" s="52">
        <f t="shared" si="4"/>
        <v>-11200</v>
      </c>
      <c r="AG16" s="46">
        <f t="shared" si="5"/>
        <v>-10050</v>
      </c>
      <c r="AH16" s="51">
        <f t="shared" si="6"/>
        <v>-21250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9250</v>
      </c>
      <c r="D17" s="6">
        <v>9000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6000+6000</f>
        <v>12000</v>
      </c>
      <c r="S17" s="6">
        <f t="shared" si="1"/>
        <v>6250</v>
      </c>
      <c r="T17" s="6">
        <v>-5000</v>
      </c>
      <c r="U17" s="6">
        <f t="shared" si="2"/>
        <v>1250</v>
      </c>
      <c r="V17" s="52"/>
      <c r="W17" s="57"/>
      <c r="X17" s="46"/>
      <c r="Y17" s="61"/>
      <c r="Z17" s="66">
        <f t="shared" si="3"/>
        <v>-6250</v>
      </c>
      <c r="AA17" s="61"/>
      <c r="AB17" s="66"/>
      <c r="AC17" s="61"/>
      <c r="AD17" s="66"/>
      <c r="AE17" s="61"/>
      <c r="AF17" s="52">
        <f t="shared" si="4"/>
        <v>-6250</v>
      </c>
      <c r="AG17" s="46">
        <f t="shared" si="5"/>
        <v>-5000</v>
      </c>
      <c r="AH17" s="51">
        <f t="shared" si="6"/>
        <v>-11250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3265</v>
      </c>
      <c r="T20" s="6">
        <v>-1605</v>
      </c>
      <c r="U20" s="6">
        <f t="shared" si="2"/>
        <v>1660</v>
      </c>
      <c r="V20" s="52"/>
      <c r="W20" s="57"/>
      <c r="X20" s="46"/>
      <c r="Y20" s="61"/>
      <c r="Z20" s="66">
        <f t="shared" si="3"/>
        <v>-3265</v>
      </c>
      <c r="AA20" s="61"/>
      <c r="AB20" s="67"/>
      <c r="AC20" s="61"/>
      <c r="AD20" s="66"/>
      <c r="AE20" s="61"/>
      <c r="AF20" s="52">
        <f t="shared" si="4"/>
        <v>-3265</v>
      </c>
      <c r="AG20" s="46">
        <f t="shared" si="5"/>
        <v>-1605</v>
      </c>
      <c r="AH20" s="51">
        <f t="shared" si="6"/>
        <v>-4870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7">
        <f t="shared" si="0"/>
        <v>0</v>
      </c>
      <c r="R22" s="112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7">
        <f t="shared" si="0"/>
        <v>0</v>
      </c>
      <c r="R24" s="112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7">
        <f t="shared" si="0"/>
        <v>0</v>
      </c>
      <c r="R25" s="112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7">
        <f t="shared" si="0"/>
        <v>0</v>
      </c>
      <c r="R26" s="112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7760</v>
      </c>
      <c r="D27" s="6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7">
        <f t="shared" si="0"/>
        <v>0</v>
      </c>
      <c r="R27" s="112"/>
      <c r="S27" s="6">
        <f t="shared" si="1"/>
        <v>7760</v>
      </c>
      <c r="T27" s="6">
        <v>-40</v>
      </c>
      <c r="U27" s="6">
        <f t="shared" si="2"/>
        <v>7720</v>
      </c>
      <c r="V27" s="52"/>
      <c r="W27" s="57"/>
      <c r="X27" s="46"/>
      <c r="Y27" s="61"/>
      <c r="Z27" s="66">
        <f t="shared" si="3"/>
        <v>-7760</v>
      </c>
      <c r="AA27" s="61"/>
      <c r="AB27" s="67"/>
      <c r="AC27" s="61"/>
      <c r="AD27" s="66"/>
      <c r="AE27" s="61"/>
      <c r="AF27" s="52">
        <f t="shared" si="4"/>
        <v>-7760</v>
      </c>
      <c r="AG27" s="46">
        <f t="shared" si="5"/>
        <v>-40</v>
      </c>
      <c r="AH27" s="51">
        <f t="shared" si="6"/>
        <v>-7800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1960</v>
      </c>
      <c r="D28" s="6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7">
        <f t="shared" si="0"/>
        <v>0</v>
      </c>
      <c r="R28" s="112"/>
      <c r="S28" s="6">
        <f t="shared" si="1"/>
        <v>1960</v>
      </c>
      <c r="T28" s="6">
        <f>-40-100</f>
        <v>-140</v>
      </c>
      <c r="U28" s="6">
        <f t="shared" si="2"/>
        <v>1820</v>
      </c>
      <c r="V28" s="52"/>
      <c r="W28" s="57"/>
      <c r="X28" s="46"/>
      <c r="Y28" s="61"/>
      <c r="Z28" s="66">
        <f t="shared" si="3"/>
        <v>-1960</v>
      </c>
      <c r="AA28" s="61"/>
      <c r="AB28" s="67"/>
      <c r="AC28" s="61"/>
      <c r="AD28" s="66"/>
      <c r="AE28" s="61"/>
      <c r="AF28" s="52">
        <f t="shared" si="4"/>
        <v>-1960</v>
      </c>
      <c r="AG28" s="46">
        <f t="shared" si="5"/>
        <v>-140</v>
      </c>
      <c r="AH28" s="51">
        <f t="shared" si="6"/>
        <v>-2100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-960</v>
      </c>
      <c r="D29" s="6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7">
        <f t="shared" si="0"/>
        <v>0</v>
      </c>
      <c r="R29" s="112"/>
      <c r="S29" s="6">
        <f t="shared" si="1"/>
        <v>-960</v>
      </c>
      <c r="T29" s="6">
        <f>860+100</f>
        <v>960</v>
      </c>
      <c r="U29" s="6">
        <f t="shared" si="2"/>
        <v>0</v>
      </c>
      <c r="V29" s="52"/>
      <c r="W29" s="57"/>
      <c r="X29" s="46"/>
      <c r="Y29" s="61"/>
      <c r="Z29" s="66">
        <f t="shared" si="3"/>
        <v>960</v>
      </c>
      <c r="AA29" s="61"/>
      <c r="AB29" s="67"/>
      <c r="AC29" s="61"/>
      <c r="AD29" s="66"/>
      <c r="AE29" s="61"/>
      <c r="AF29" s="52">
        <f t="shared" si="4"/>
        <v>960</v>
      </c>
      <c r="AG29" s="46">
        <f t="shared" si="5"/>
        <v>960</v>
      </c>
      <c r="AH29" s="51">
        <f t="shared" si="6"/>
        <v>1920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7">
        <f t="shared" si="0"/>
        <v>0</v>
      </c>
      <c r="R30" s="112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19880</v>
      </c>
      <c r="D31" s="6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7">
        <f t="shared" si="0"/>
        <v>0</v>
      </c>
      <c r="R31" s="112">
        <f>500+1000</f>
        <v>1500</v>
      </c>
      <c r="S31" s="6">
        <f t="shared" si="1"/>
        <v>18380</v>
      </c>
      <c r="T31" s="6">
        <v>-17180</v>
      </c>
      <c r="U31" s="6">
        <f t="shared" si="2"/>
        <v>1200</v>
      </c>
      <c r="V31" s="52"/>
      <c r="W31" s="57"/>
      <c r="X31" s="46"/>
      <c r="Y31" s="61"/>
      <c r="Z31" s="66">
        <f t="shared" si="3"/>
        <v>-18380</v>
      </c>
      <c r="AA31" s="61"/>
      <c r="AB31" s="64"/>
      <c r="AC31" s="61"/>
      <c r="AD31" s="66"/>
      <c r="AE31" s="61"/>
      <c r="AF31" s="52">
        <f t="shared" si="4"/>
        <v>-18380</v>
      </c>
      <c r="AG31" s="46">
        <f t="shared" si="5"/>
        <v>-17180</v>
      </c>
      <c r="AH31" s="51">
        <f t="shared" si="6"/>
        <v>-35560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28660</v>
      </c>
      <c r="D32" s="6">
        <v>9920</v>
      </c>
      <c r="E32" s="112"/>
      <c r="F32" s="112"/>
      <c r="G32" s="112"/>
      <c r="H32" s="112"/>
      <c r="I32" s="112">
        <v>3000</v>
      </c>
      <c r="J32" s="112"/>
      <c r="K32" s="112"/>
      <c r="L32" s="112"/>
      <c r="M32" s="112"/>
      <c r="N32" s="112"/>
      <c r="O32" s="6"/>
      <c r="P32" s="6"/>
      <c r="Q32" s="7">
        <f>SUM(E32:P32)</f>
        <v>3000</v>
      </c>
      <c r="R32" s="112">
        <f>1200+8000</f>
        <v>9200</v>
      </c>
      <c r="S32" s="6">
        <f t="shared" si="1"/>
        <v>29380</v>
      </c>
      <c r="T32" s="6">
        <v>-18280</v>
      </c>
      <c r="U32" s="6">
        <f t="shared" si="2"/>
        <v>11100</v>
      </c>
      <c r="V32" s="52"/>
      <c r="W32" s="57"/>
      <c r="X32" s="46"/>
      <c r="Y32" s="61"/>
      <c r="Z32" s="66">
        <f t="shared" si="3"/>
        <v>-29380</v>
      </c>
      <c r="AA32" s="61"/>
      <c r="AB32" s="67"/>
      <c r="AC32" s="61"/>
      <c r="AD32" s="66"/>
      <c r="AE32" s="61"/>
      <c r="AF32" s="52">
        <f t="shared" si="4"/>
        <v>-29380</v>
      </c>
      <c r="AG32" s="46">
        <f t="shared" si="5"/>
        <v>-18280</v>
      </c>
      <c r="AH32" s="51">
        <f t="shared" si="6"/>
        <v>-47660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7">
        <f t="shared" si="0"/>
        <v>0</v>
      </c>
      <c r="R33" s="112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12"/>
      <c r="F34" s="112"/>
      <c r="G34" s="112"/>
      <c r="H34" s="112"/>
      <c r="I34" s="112"/>
      <c r="J34" s="112"/>
      <c r="K34" s="6"/>
      <c r="L34" s="112"/>
      <c r="M34" s="112"/>
      <c r="N34" s="112"/>
      <c r="O34" s="112"/>
      <c r="P34" s="112"/>
      <c r="Q34" s="7">
        <f t="shared" si="0"/>
        <v>0</v>
      </c>
      <c r="R34" s="112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12"/>
      <c r="F35" s="112"/>
      <c r="G35" s="112"/>
      <c r="H35" s="112"/>
      <c r="I35" s="112"/>
      <c r="J35" s="112"/>
      <c r="K35" s="6"/>
      <c r="L35" s="112"/>
      <c r="M35" s="112"/>
      <c r="N35" s="112"/>
      <c r="O35" s="112"/>
      <c r="P35" s="112"/>
      <c r="Q35" s="7">
        <f t="shared" si="0"/>
        <v>0</v>
      </c>
      <c r="R35" s="112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7">
        <f t="shared" si="0"/>
        <v>0</v>
      </c>
      <c r="R36" s="112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7">
        <f t="shared" si="0"/>
        <v>0</v>
      </c>
      <c r="R37" s="112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1420</v>
      </c>
      <c r="D38" s="6">
        <v>10700</v>
      </c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>
        <v>1825</v>
      </c>
      <c r="Q38" s="7">
        <f>SUM(E38:P38)</f>
        <v>1825</v>
      </c>
      <c r="R38" s="112">
        <v>200</v>
      </c>
      <c r="S38" s="6">
        <f t="shared" si="1"/>
        <v>11920</v>
      </c>
      <c r="T38" s="6">
        <v>-1340</v>
      </c>
      <c r="U38" s="6">
        <f t="shared" si="2"/>
        <v>10580</v>
      </c>
      <c r="V38" s="52"/>
      <c r="W38" s="57"/>
      <c r="X38" s="46"/>
      <c r="Y38" s="61"/>
      <c r="Z38" s="66">
        <f t="shared" si="3"/>
        <v>-11920</v>
      </c>
      <c r="AA38" s="61"/>
      <c r="AB38" s="64"/>
      <c r="AC38" s="61"/>
      <c r="AD38" s="66"/>
      <c r="AE38" s="61"/>
      <c r="AF38" s="52">
        <f t="shared" si="4"/>
        <v>-11920</v>
      </c>
      <c r="AG38" s="46">
        <f t="shared" si="5"/>
        <v>-1340</v>
      </c>
      <c r="AH38" s="51">
        <f t="shared" si="6"/>
        <v>-13260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7">
        <f>SUM(E39:P39)</f>
        <v>0</v>
      </c>
      <c r="R39" s="112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/>
      <c r="E40" s="112"/>
      <c r="F40" s="112"/>
      <c r="G40" s="112"/>
      <c r="H40" s="27"/>
      <c r="I40" s="112"/>
      <c r="J40" s="112"/>
      <c r="K40" s="112"/>
      <c r="L40" s="112"/>
      <c r="M40" s="112"/>
      <c r="N40" s="112"/>
      <c r="O40" s="112"/>
      <c r="P40" s="112"/>
      <c r="Q40" s="7">
        <f>SUM(E40:P40)</f>
        <v>0</v>
      </c>
      <c r="R40" s="112"/>
      <c r="S40" s="6">
        <f t="shared" si="1"/>
        <v>10220</v>
      </c>
      <c r="T40" s="6">
        <f>-10260+40</f>
        <v>-10220</v>
      </c>
      <c r="U40" s="6">
        <f t="shared" si="2"/>
        <v>0</v>
      </c>
      <c r="V40" s="52"/>
      <c r="W40" s="57"/>
      <c r="X40" s="46"/>
      <c r="Y40" s="61"/>
      <c r="Z40" s="66">
        <f t="shared" si="3"/>
        <v>-10220</v>
      </c>
      <c r="AA40" s="61"/>
      <c r="AB40" s="67"/>
      <c r="AC40" s="61"/>
      <c r="AD40" s="66"/>
      <c r="AE40" s="61"/>
      <c r="AF40" s="52">
        <f t="shared" si="4"/>
        <v>-10220</v>
      </c>
      <c r="AG40" s="46">
        <f t="shared" si="5"/>
        <v>-10220</v>
      </c>
      <c r="AH40" s="51">
        <f t="shared" si="6"/>
        <v>-20440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7">
        <f>SUM(E41:P41)</f>
        <v>0</v>
      </c>
      <c r="R41" s="112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7">
        <f>SUM(E42:P42)</f>
        <v>0</v>
      </c>
      <c r="R42" s="112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7">
        <f t="shared" si="0"/>
        <v>0</v>
      </c>
      <c r="R44" s="112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7">
        <f t="shared" si="0"/>
        <v>0</v>
      </c>
      <c r="R45" s="112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7">
        <f t="shared" si="0"/>
        <v>0</v>
      </c>
      <c r="R46" s="112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7">
        <f t="shared" si="0"/>
        <v>0</v>
      </c>
      <c r="R47" s="112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7">
        <f t="shared" si="0"/>
        <v>0</v>
      </c>
      <c r="R48" s="112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7">
        <f t="shared" si="0"/>
        <v>0</v>
      </c>
      <c r="R49" s="112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14575</v>
      </c>
      <c r="D50" s="6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7">
        <f t="shared" si="0"/>
        <v>0</v>
      </c>
      <c r="R50" s="112"/>
      <c r="S50" s="6">
        <f t="shared" si="1"/>
        <v>14575</v>
      </c>
      <c r="T50" s="6">
        <f>-12000+8615</f>
        <v>-3385</v>
      </c>
      <c r="U50" s="6">
        <f t="shared" si="2"/>
        <v>11190</v>
      </c>
      <c r="V50" s="52"/>
      <c r="W50" s="57"/>
      <c r="X50" s="46"/>
      <c r="Y50" s="61"/>
      <c r="Z50" s="66">
        <f t="shared" si="3"/>
        <v>-14575</v>
      </c>
      <c r="AA50" s="61"/>
      <c r="AB50" s="64"/>
      <c r="AC50" s="61"/>
      <c r="AD50" s="66"/>
      <c r="AE50" s="61"/>
      <c r="AF50" s="52">
        <f t="shared" si="4"/>
        <v>-14575</v>
      </c>
      <c r="AG50" s="46">
        <f t="shared" si="5"/>
        <v>-3385</v>
      </c>
      <c r="AH50" s="51">
        <f t="shared" si="6"/>
        <v>-17960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7">
        <f t="shared" si="0"/>
        <v>0</v>
      </c>
      <c r="R51" s="112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2510</v>
      </c>
      <c r="D52" s="6">
        <v>2100</v>
      </c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7">
        <f t="shared" si="0"/>
        <v>0</v>
      </c>
      <c r="R52" s="112">
        <v>1000</v>
      </c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7">
        <f t="shared" si="0"/>
        <v>0</v>
      </c>
      <c r="R53" s="112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7950</v>
      </c>
      <c r="D54" s="6"/>
      <c r="E54" s="112"/>
      <c r="F54" s="112"/>
      <c r="G54" s="112"/>
      <c r="H54" s="112"/>
      <c r="I54" s="112">
        <v>4000</v>
      </c>
      <c r="J54" s="112"/>
      <c r="K54" s="112"/>
      <c r="L54" s="112"/>
      <c r="M54" s="112"/>
      <c r="N54" s="112"/>
      <c r="O54" s="112"/>
      <c r="P54" s="112"/>
      <c r="Q54" s="7">
        <f t="shared" si="0"/>
        <v>4000</v>
      </c>
      <c r="R54" s="112">
        <v>2000</v>
      </c>
      <c r="S54" s="6">
        <f t="shared" si="1"/>
        <v>5950</v>
      </c>
      <c r="T54" s="6">
        <v>-2850</v>
      </c>
      <c r="U54" s="6">
        <f t="shared" si="2"/>
        <v>3100</v>
      </c>
      <c r="V54" s="52"/>
      <c r="W54" s="57"/>
      <c r="X54" s="46"/>
      <c r="Y54" s="61"/>
      <c r="Z54" s="66">
        <f t="shared" si="3"/>
        <v>-5950</v>
      </c>
      <c r="AA54" s="61"/>
      <c r="AB54" s="67"/>
      <c r="AC54" s="61"/>
      <c r="AD54" s="66"/>
      <c r="AE54" s="61"/>
      <c r="AF54" s="52">
        <f t="shared" si="4"/>
        <v>-5950</v>
      </c>
      <c r="AG54" s="46">
        <f t="shared" si="5"/>
        <v>-2850</v>
      </c>
      <c r="AH54" s="51">
        <f t="shared" si="6"/>
        <v>-8800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7">
        <f t="shared" si="0"/>
        <v>0</v>
      </c>
      <c r="R55" s="112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7">
        <f>SUM(E56:P56)</f>
        <v>0</v>
      </c>
      <c r="R56" s="112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7">
        <f t="shared" si="0"/>
        <v>0</v>
      </c>
      <c r="R61" s="112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7">
        <f t="shared" si="0"/>
        <v>0</v>
      </c>
      <c r="R62" s="111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7">
        <f t="shared" si="0"/>
        <v>0</v>
      </c>
      <c r="R63" s="111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7">
        <f t="shared" si="0"/>
        <v>0</v>
      </c>
      <c r="R64" s="111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7">
        <f t="shared" si="0"/>
        <v>0</v>
      </c>
      <c r="R65" s="111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13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2450</v>
      </c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7">
        <f t="shared" si="0"/>
        <v>0</v>
      </c>
      <c r="R67" s="112"/>
      <c r="S67" s="6">
        <f t="shared" si="1"/>
        <v>2450</v>
      </c>
      <c r="T67" s="6">
        <v>-1525</v>
      </c>
      <c r="U67" s="6">
        <f t="shared" si="2"/>
        <v>925</v>
      </c>
      <c r="V67" s="52"/>
      <c r="W67" s="57"/>
      <c r="X67" s="46"/>
      <c r="Y67" s="61"/>
      <c r="Z67" s="66">
        <f t="shared" si="3"/>
        <v>-2450</v>
      </c>
      <c r="AA67" s="61"/>
      <c r="AB67" s="67"/>
      <c r="AC67" s="61"/>
      <c r="AD67" s="66"/>
      <c r="AE67" s="61"/>
      <c r="AF67" s="52">
        <f t="shared" si="4"/>
        <v>-2450</v>
      </c>
      <c r="AG67" s="46">
        <f t="shared" si="5"/>
        <v>-1525</v>
      </c>
      <c r="AH67" s="51">
        <f t="shared" si="6"/>
        <v>-3975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7">
        <f t="shared" si="0"/>
        <v>0</v>
      </c>
      <c r="R68" s="112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f>24275-400</f>
        <v>23875</v>
      </c>
      <c r="D69" s="112">
        <v>15450</v>
      </c>
      <c r="E69" s="112"/>
      <c r="F69" s="112"/>
      <c r="G69" s="112">
        <f>2000+2075</f>
        <v>4075</v>
      </c>
      <c r="H69" s="112"/>
      <c r="I69" s="112"/>
      <c r="J69" s="112"/>
      <c r="K69" s="112"/>
      <c r="L69" s="112"/>
      <c r="M69" s="112"/>
      <c r="N69" s="112"/>
      <c r="O69" s="112"/>
      <c r="P69" s="112"/>
      <c r="Q69" s="7">
        <f t="shared" si="0"/>
        <v>4075</v>
      </c>
      <c r="R69" s="112">
        <f>8000+2500+3500</f>
        <v>14000</v>
      </c>
      <c r="S69" s="6">
        <f t="shared" si="1"/>
        <v>25325</v>
      </c>
      <c r="T69" s="6">
        <v>-16950</v>
      </c>
      <c r="U69" s="6">
        <f t="shared" si="2"/>
        <v>8375</v>
      </c>
      <c r="V69" s="52"/>
      <c r="W69" s="57"/>
      <c r="X69" s="46"/>
      <c r="Y69" s="61"/>
      <c r="Z69" s="66">
        <f t="shared" si="3"/>
        <v>-25325</v>
      </c>
      <c r="AA69" s="61"/>
      <c r="AB69" s="64"/>
      <c r="AC69" s="61"/>
      <c r="AD69" s="66"/>
      <c r="AE69" s="61"/>
      <c r="AF69" s="52">
        <f t="shared" si="4"/>
        <v>-25325</v>
      </c>
      <c r="AG69" s="46">
        <f t="shared" si="5"/>
        <v>-16950</v>
      </c>
      <c r="AH69" s="51">
        <f t="shared" si="6"/>
        <v>-42275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13050</v>
      </c>
      <c r="D70" s="112">
        <f>400+2000</f>
        <v>2400</v>
      </c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7">
        <f t="shared" si="0"/>
        <v>0</v>
      </c>
      <c r="R70" s="112">
        <v>500</v>
      </c>
      <c r="S70" s="6">
        <f t="shared" si="1"/>
        <v>14950</v>
      </c>
      <c r="T70" s="6">
        <v>-9425</v>
      </c>
      <c r="U70" s="6">
        <f t="shared" si="2"/>
        <v>5525</v>
      </c>
      <c r="V70" s="52"/>
      <c r="W70" s="57"/>
      <c r="X70" s="46"/>
      <c r="Y70" s="61"/>
      <c r="Z70" s="66">
        <f t="shared" si="3"/>
        <v>-14950</v>
      </c>
      <c r="AA70" s="61"/>
      <c r="AB70" s="67"/>
      <c r="AC70" s="61"/>
      <c r="AD70" s="66"/>
      <c r="AE70" s="61"/>
      <c r="AF70" s="52">
        <f t="shared" si="4"/>
        <v>-14950</v>
      </c>
      <c r="AG70" s="46">
        <f t="shared" si="5"/>
        <v>-9425</v>
      </c>
      <c r="AH70" s="51">
        <f t="shared" si="6"/>
        <v>-24375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f>46625+400</f>
        <v>47025</v>
      </c>
      <c r="D71" s="112">
        <v>3500</v>
      </c>
      <c r="E71" s="112"/>
      <c r="F71" s="112"/>
      <c r="G71" s="112">
        <f>15000+2250</f>
        <v>17250</v>
      </c>
      <c r="H71" s="112"/>
      <c r="I71" s="112"/>
      <c r="J71" s="112"/>
      <c r="K71" s="112"/>
      <c r="L71" s="112"/>
      <c r="M71" s="112"/>
      <c r="N71" s="112"/>
      <c r="O71" s="112"/>
      <c r="P71" s="112"/>
      <c r="Q71" s="7">
        <f t="shared" si="0"/>
        <v>17250</v>
      </c>
      <c r="R71" s="112">
        <f>500+8000+12500+2000</f>
        <v>23000</v>
      </c>
      <c r="S71" s="6">
        <f t="shared" si="1"/>
        <v>27525</v>
      </c>
      <c r="T71" s="6">
        <v>-27500</v>
      </c>
      <c r="U71" s="6">
        <f t="shared" si="2"/>
        <v>25</v>
      </c>
      <c r="V71" s="52"/>
      <c r="W71" s="57"/>
      <c r="X71" s="46"/>
      <c r="Y71" s="61"/>
      <c r="Z71" s="66">
        <f t="shared" si="3"/>
        <v>-27525</v>
      </c>
      <c r="AA71" s="61"/>
      <c r="AB71" s="64"/>
      <c r="AC71" s="61"/>
      <c r="AD71" s="66"/>
      <c r="AE71" s="61"/>
      <c r="AF71" s="52">
        <f t="shared" si="4"/>
        <v>-27525</v>
      </c>
      <c r="AG71" s="46">
        <f t="shared" si="5"/>
        <v>-27500</v>
      </c>
      <c r="AH71" s="51">
        <f t="shared" si="6"/>
        <v>-55025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12">
        <f>SUM(C7:C72)</f>
        <v>423405</v>
      </c>
      <c r="D73" s="112">
        <f t="shared" ref="D73:V73" si="11">SUM(D7:D72)</f>
        <v>69870</v>
      </c>
      <c r="E73" s="112">
        <f t="shared" si="11"/>
        <v>0</v>
      </c>
      <c r="F73" s="112">
        <f t="shared" si="11"/>
        <v>0</v>
      </c>
      <c r="G73" s="112">
        <f t="shared" si="11"/>
        <v>21325</v>
      </c>
      <c r="H73" s="27">
        <f t="shared" si="11"/>
        <v>0</v>
      </c>
      <c r="I73" s="112">
        <f t="shared" si="11"/>
        <v>7000</v>
      </c>
      <c r="J73" s="112">
        <f t="shared" si="11"/>
        <v>0</v>
      </c>
      <c r="K73" s="112">
        <f t="shared" si="11"/>
        <v>0</v>
      </c>
      <c r="L73" s="112">
        <f t="shared" si="11"/>
        <v>0</v>
      </c>
      <c r="M73" s="112">
        <f t="shared" si="11"/>
        <v>0</v>
      </c>
      <c r="N73" s="112">
        <f t="shared" si="11"/>
        <v>0</v>
      </c>
      <c r="O73" s="112">
        <f t="shared" si="11"/>
        <v>0</v>
      </c>
      <c r="P73" s="112">
        <f t="shared" si="11"/>
        <v>1825</v>
      </c>
      <c r="Q73" s="112">
        <f t="shared" si="11"/>
        <v>30150</v>
      </c>
      <c r="R73" s="112">
        <f t="shared" si="11"/>
        <v>95950</v>
      </c>
      <c r="S73" s="112">
        <f t="shared" si="11"/>
        <v>397325</v>
      </c>
      <c r="T73" s="112">
        <f t="shared" si="11"/>
        <v>-286670</v>
      </c>
      <c r="U73" s="112">
        <f t="shared" si="11"/>
        <v>110655</v>
      </c>
      <c r="V73" s="112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-397325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-397325</v>
      </c>
      <c r="AG73" s="43">
        <f t="shared" si="12"/>
        <v>-286670</v>
      </c>
      <c r="AH73" s="43">
        <f t="shared" si="12"/>
        <v>-683995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30150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</f>
        <v>228825</v>
      </c>
      <c r="S74" s="211"/>
      <c r="T74" s="212">
        <f>R74+R75</f>
        <v>490435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69870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</f>
        <v>261610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95950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</f>
        <v>352730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</f>
        <v>63650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63650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44000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56020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289080</v>
      </c>
      <c r="S80" s="197"/>
      <c r="T80" s="22"/>
      <c r="U80" s="22"/>
      <c r="V80" s="2"/>
      <c r="X80" s="63">
        <f>SUM(X77:X79)</f>
        <v>100020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14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/>
      <c r="R94" s="36"/>
      <c r="S94" s="36">
        <v>8</v>
      </c>
      <c r="T94" s="36"/>
      <c r="U94" s="36">
        <v>8</v>
      </c>
      <c r="V94" s="36"/>
      <c r="W94" s="36"/>
      <c r="X94" s="36">
        <f t="shared" si="13"/>
        <v>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0</v>
      </c>
      <c r="R118" s="63">
        <f t="shared" si="14"/>
        <v>66600</v>
      </c>
      <c r="S118" s="63"/>
      <c r="T118" s="63">
        <f>SUM(T87:T117)</f>
        <v>352730</v>
      </c>
      <c r="U118" s="63"/>
      <c r="V118" s="63">
        <f>SUM(V87:V117)</f>
        <v>228825</v>
      </c>
      <c r="W118" s="63">
        <f>SUM(W87:W117)</f>
        <v>261610</v>
      </c>
      <c r="X118" s="36">
        <f>SUM(V118:W118)</f>
        <v>490435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A1:V1"/>
    <mergeCell ref="A2:V2"/>
    <mergeCell ref="A3:V3"/>
    <mergeCell ref="R4:V4"/>
    <mergeCell ref="AG4:AH4"/>
    <mergeCell ref="AO5:AR5"/>
    <mergeCell ref="AT5:AW5"/>
    <mergeCell ref="R5:R6"/>
    <mergeCell ref="S5:S6"/>
    <mergeCell ref="T5:T6"/>
    <mergeCell ref="U5:U6"/>
    <mergeCell ref="V5:V6"/>
    <mergeCell ref="W5:W6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73:B73"/>
    <mergeCell ref="B74:D74"/>
    <mergeCell ref="E74:Q74"/>
    <mergeCell ref="R74:S74"/>
    <mergeCell ref="T74:U75"/>
    <mergeCell ref="B75:D75"/>
    <mergeCell ref="E75:Q75"/>
    <mergeCell ref="R75:S75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B78:C78"/>
    <mergeCell ref="D78:Q78"/>
    <mergeCell ref="R78:S78"/>
    <mergeCell ref="B79:C79"/>
    <mergeCell ref="D79:Q79"/>
    <mergeCell ref="R79:S79"/>
    <mergeCell ref="B80:D80"/>
    <mergeCell ref="E80:Q80"/>
    <mergeCell ref="R80:S80"/>
    <mergeCell ref="J81:K81"/>
    <mergeCell ref="P81:Q81"/>
    <mergeCell ref="R81:S81"/>
    <mergeCell ref="B82:V82"/>
    <mergeCell ref="J83:K83"/>
    <mergeCell ref="A84:B84"/>
    <mergeCell ref="C84:F84"/>
    <mergeCell ref="H84:Q84"/>
    <mergeCell ref="R84:V84"/>
  </mergeCells>
  <pageMargins left="0.2" right="0.2" top="0.25" bottom="0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61" activePane="bottomRight" state="frozen"/>
      <selection activeCell="O32" sqref="O32"/>
      <selection pane="topRight" activeCell="O32" sqref="O32"/>
      <selection pane="bottomLeft" activeCell="O32" sqref="O32"/>
      <selection pane="bottomRight" activeCell="I73" sqref="I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159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157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13350</v>
      </c>
      <c r="D7" s="6">
        <v>3000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>
        <f t="shared" ref="Q7:Q71" si="0">SUM(E7:P7)</f>
        <v>0</v>
      </c>
      <c r="R7" s="6">
        <f>1500+100+2000</f>
        <v>3600</v>
      </c>
      <c r="S7" s="6">
        <f>C7+D7-R7</f>
        <v>12750</v>
      </c>
      <c r="T7" s="34">
        <v>-9150</v>
      </c>
      <c r="U7" s="6">
        <f>S7+T7</f>
        <v>3600</v>
      </c>
      <c r="V7" s="52"/>
      <c r="W7" s="57"/>
      <c r="X7" s="46"/>
      <c r="Y7" s="65"/>
      <c r="Z7" s="66">
        <f>W7-S7</f>
        <v>-12750</v>
      </c>
      <c r="AA7" s="65"/>
      <c r="AB7" s="67"/>
      <c r="AC7" s="65"/>
      <c r="AD7" s="47"/>
      <c r="AE7" s="61"/>
      <c r="AF7" s="52">
        <f>SUM(Y7:AE7)</f>
        <v>-12750</v>
      </c>
      <c r="AG7" s="46">
        <f>U7+AF7</f>
        <v>-9150</v>
      </c>
      <c r="AH7" s="51">
        <f>AG7-S7</f>
        <v>-21900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30100</v>
      </c>
      <c r="D8" s="6">
        <v>11400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>
        <f t="shared" si="0"/>
        <v>0</v>
      </c>
      <c r="R8" s="6">
        <f>4500+500+2500</f>
        <v>7500</v>
      </c>
      <c r="S8" s="6">
        <f t="shared" ref="S8:S71" si="1">C8+D8-R8</f>
        <v>34000</v>
      </c>
      <c r="T8" s="6">
        <v>-24350</v>
      </c>
      <c r="U8" s="6">
        <f t="shared" ref="U8:U71" si="2">S8+T8</f>
        <v>9650</v>
      </c>
      <c r="V8" s="52"/>
      <c r="W8" s="57"/>
      <c r="X8" s="46"/>
      <c r="Y8" s="61"/>
      <c r="Z8" s="66">
        <f t="shared" ref="Z8:Z71" si="3">W8-S8</f>
        <v>-34000</v>
      </c>
      <c r="AA8" s="61"/>
      <c r="AB8" s="67"/>
      <c r="AC8" s="61"/>
      <c r="AD8" s="66"/>
      <c r="AE8" s="61"/>
      <c r="AF8" s="52">
        <f t="shared" ref="AF8:AF71" si="4">SUM(Y8:AE8)</f>
        <v>-34000</v>
      </c>
      <c r="AG8" s="46">
        <f t="shared" ref="AG8:AG71" si="5">U8+AF8</f>
        <v>-24350</v>
      </c>
      <c r="AH8" s="51">
        <f t="shared" ref="AH8:AH71" si="6">AG8-S8</f>
        <v>-58350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f>3750+500</f>
        <v>4250</v>
      </c>
      <c r="D11" s="6">
        <v>5000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5000+500</f>
        <v>5500</v>
      </c>
      <c r="S11" s="6">
        <f t="shared" si="1"/>
        <v>3750</v>
      </c>
      <c r="T11" s="6">
        <v>-3750</v>
      </c>
      <c r="U11" s="6">
        <f t="shared" si="2"/>
        <v>0</v>
      </c>
      <c r="V11" s="52"/>
      <c r="W11" s="57"/>
      <c r="X11" s="46"/>
      <c r="Y11" s="61"/>
      <c r="Z11" s="66">
        <f t="shared" si="3"/>
        <v>-3750</v>
      </c>
      <c r="AA11" s="61"/>
      <c r="AB11" s="67"/>
      <c r="AC11" s="61"/>
      <c r="AD11" s="66"/>
      <c r="AE11" s="61"/>
      <c r="AF11" s="52">
        <f t="shared" si="4"/>
        <v>-3750</v>
      </c>
      <c r="AG11" s="46">
        <f t="shared" si="5"/>
        <v>-3750</v>
      </c>
      <c r="AH11" s="51">
        <f t="shared" si="6"/>
        <v>-7500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-3400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/>
      <c r="S12" s="6">
        <f t="shared" si="1"/>
        <v>-3400</v>
      </c>
      <c r="T12" s="6">
        <v>4700</v>
      </c>
      <c r="U12" s="6">
        <f t="shared" si="2"/>
        <v>1300</v>
      </c>
      <c r="V12" s="52"/>
      <c r="W12" s="57"/>
      <c r="X12" s="46"/>
      <c r="Y12" s="61"/>
      <c r="Z12" s="66">
        <f t="shared" si="3"/>
        <v>3400</v>
      </c>
      <c r="AA12" s="61"/>
      <c r="AB12" s="67"/>
      <c r="AC12" s="61"/>
      <c r="AD12" s="66"/>
      <c r="AE12" s="61"/>
      <c r="AF12" s="52">
        <f t="shared" si="4"/>
        <v>3400</v>
      </c>
      <c r="AG12" s="46">
        <f t="shared" si="5"/>
        <v>4700</v>
      </c>
      <c r="AH12" s="51">
        <f t="shared" si="6"/>
        <v>8100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11410</v>
      </c>
      <c r="D14" s="6">
        <f>10000+7900+4750</f>
        <v>22650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4000+6000+2000</f>
        <v>12000</v>
      </c>
      <c r="S14" s="6">
        <f t="shared" si="1"/>
        <v>22060</v>
      </c>
      <c r="T14" s="6">
        <v>-5760</v>
      </c>
      <c r="U14" s="6">
        <f t="shared" si="2"/>
        <v>16300</v>
      </c>
      <c r="V14" s="52"/>
      <c r="W14" s="57"/>
      <c r="X14" s="46"/>
      <c r="Y14" s="61"/>
      <c r="Z14" s="66">
        <f t="shared" si="3"/>
        <v>-22060</v>
      </c>
      <c r="AA14" s="61"/>
      <c r="AB14" s="66"/>
      <c r="AC14" s="61"/>
      <c r="AD14" s="66"/>
      <c r="AE14" s="61"/>
      <c r="AF14" s="52">
        <f t="shared" si="4"/>
        <v>-22060</v>
      </c>
      <c r="AG14" s="46">
        <f t="shared" si="5"/>
        <v>-5760</v>
      </c>
      <c r="AH14" s="51">
        <f t="shared" si="6"/>
        <v>-27820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f>11200-500</f>
        <v>10700</v>
      </c>
      <c r="D16" s="6">
        <v>2250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200</v>
      </c>
      <c r="S16" s="6">
        <f t="shared" si="1"/>
        <v>12750</v>
      </c>
      <c r="T16" s="34">
        <v>-10050</v>
      </c>
      <c r="U16" s="6">
        <f t="shared" si="2"/>
        <v>2700</v>
      </c>
      <c r="V16" s="52"/>
      <c r="W16" s="57"/>
      <c r="X16" s="46"/>
      <c r="Y16" s="61"/>
      <c r="Z16" s="66">
        <f t="shared" si="3"/>
        <v>-12750</v>
      </c>
      <c r="AA16" s="61"/>
      <c r="AB16" s="67"/>
      <c r="AC16" s="61"/>
      <c r="AD16" s="47"/>
      <c r="AE16" s="61"/>
      <c r="AF16" s="52">
        <f t="shared" si="4"/>
        <v>-12750</v>
      </c>
      <c r="AG16" s="46">
        <f t="shared" si="5"/>
        <v>-10050</v>
      </c>
      <c r="AH16" s="51">
        <f t="shared" si="6"/>
        <v>-22800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6250</v>
      </c>
      <c r="D17" s="6">
        <f>4500+9500</f>
        <v>14000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9000+1000+1350</f>
        <v>11350</v>
      </c>
      <c r="S17" s="6">
        <f t="shared" si="1"/>
        <v>8900</v>
      </c>
      <c r="T17" s="6">
        <v>-5000</v>
      </c>
      <c r="U17" s="6">
        <f t="shared" si="2"/>
        <v>3900</v>
      </c>
      <c r="V17" s="52"/>
      <c r="W17" s="57"/>
      <c r="X17" s="46"/>
      <c r="Y17" s="61"/>
      <c r="Z17" s="66">
        <f t="shared" si="3"/>
        <v>-8900</v>
      </c>
      <c r="AA17" s="61"/>
      <c r="AB17" s="66"/>
      <c r="AC17" s="61"/>
      <c r="AD17" s="66"/>
      <c r="AE17" s="61"/>
      <c r="AF17" s="52">
        <f t="shared" si="4"/>
        <v>-8900</v>
      </c>
      <c r="AG17" s="46">
        <f t="shared" si="5"/>
        <v>-5000</v>
      </c>
      <c r="AH17" s="51">
        <f t="shared" si="6"/>
        <v>-13900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3265</v>
      </c>
      <c r="T20" s="6">
        <v>-1605</v>
      </c>
      <c r="U20" s="6">
        <f t="shared" si="2"/>
        <v>1660</v>
      </c>
      <c r="V20" s="52"/>
      <c r="W20" s="57"/>
      <c r="X20" s="46"/>
      <c r="Y20" s="61"/>
      <c r="Z20" s="66">
        <f t="shared" si="3"/>
        <v>-3265</v>
      </c>
      <c r="AA20" s="61"/>
      <c r="AB20" s="67"/>
      <c r="AC20" s="61"/>
      <c r="AD20" s="66"/>
      <c r="AE20" s="61"/>
      <c r="AF20" s="52">
        <f t="shared" si="4"/>
        <v>-3265</v>
      </c>
      <c r="AG20" s="46">
        <f t="shared" si="5"/>
        <v>-1605</v>
      </c>
      <c r="AH20" s="51">
        <f t="shared" si="6"/>
        <v>-4870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7">
        <f t="shared" si="0"/>
        <v>0</v>
      </c>
      <c r="R22" s="118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7">
        <f t="shared" si="0"/>
        <v>0</v>
      </c>
      <c r="R24" s="118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7">
        <f t="shared" si="0"/>
        <v>0</v>
      </c>
      <c r="R25" s="118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7">
        <f t="shared" si="0"/>
        <v>0</v>
      </c>
      <c r="R26" s="118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7760</v>
      </c>
      <c r="D27" s="6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7">
        <f t="shared" si="0"/>
        <v>0</v>
      </c>
      <c r="R27" s="118"/>
      <c r="S27" s="6">
        <f t="shared" si="1"/>
        <v>7760</v>
      </c>
      <c r="T27" s="6">
        <v>-40</v>
      </c>
      <c r="U27" s="6">
        <f t="shared" si="2"/>
        <v>7720</v>
      </c>
      <c r="V27" s="52"/>
      <c r="W27" s="57"/>
      <c r="X27" s="46"/>
      <c r="Y27" s="61"/>
      <c r="Z27" s="66">
        <f t="shared" si="3"/>
        <v>-7760</v>
      </c>
      <c r="AA27" s="61"/>
      <c r="AB27" s="67"/>
      <c r="AC27" s="61"/>
      <c r="AD27" s="66"/>
      <c r="AE27" s="61"/>
      <c r="AF27" s="52">
        <f t="shared" si="4"/>
        <v>-7760</v>
      </c>
      <c r="AG27" s="46">
        <f t="shared" si="5"/>
        <v>-40</v>
      </c>
      <c r="AH27" s="51">
        <f t="shared" si="6"/>
        <v>-7800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1960</v>
      </c>
      <c r="D28" s="6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7">
        <f t="shared" si="0"/>
        <v>0</v>
      </c>
      <c r="R28" s="118"/>
      <c r="S28" s="6">
        <f t="shared" si="1"/>
        <v>1960</v>
      </c>
      <c r="T28" s="6">
        <f>-40-100</f>
        <v>-140</v>
      </c>
      <c r="U28" s="6">
        <f t="shared" si="2"/>
        <v>1820</v>
      </c>
      <c r="V28" s="52"/>
      <c r="W28" s="57"/>
      <c r="X28" s="46"/>
      <c r="Y28" s="61"/>
      <c r="Z28" s="66">
        <f t="shared" si="3"/>
        <v>-1960</v>
      </c>
      <c r="AA28" s="61"/>
      <c r="AB28" s="67"/>
      <c r="AC28" s="61"/>
      <c r="AD28" s="66"/>
      <c r="AE28" s="61"/>
      <c r="AF28" s="52">
        <f t="shared" si="4"/>
        <v>-1960</v>
      </c>
      <c r="AG28" s="46">
        <f t="shared" si="5"/>
        <v>-140</v>
      </c>
      <c r="AH28" s="51">
        <f t="shared" si="6"/>
        <v>-2100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-960</v>
      </c>
      <c r="D29" s="6">
        <v>4700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7">
        <f t="shared" si="0"/>
        <v>0</v>
      </c>
      <c r="R29" s="118">
        <v>2000</v>
      </c>
      <c r="S29" s="6">
        <f t="shared" si="1"/>
        <v>1740</v>
      </c>
      <c r="T29" s="6">
        <f>860+100</f>
        <v>960</v>
      </c>
      <c r="U29" s="6">
        <f t="shared" si="2"/>
        <v>2700</v>
      </c>
      <c r="V29" s="52"/>
      <c r="W29" s="57"/>
      <c r="X29" s="46"/>
      <c r="Y29" s="61"/>
      <c r="Z29" s="66">
        <f t="shared" si="3"/>
        <v>-1740</v>
      </c>
      <c r="AA29" s="61"/>
      <c r="AB29" s="67"/>
      <c r="AC29" s="61"/>
      <c r="AD29" s="66"/>
      <c r="AE29" s="61"/>
      <c r="AF29" s="52">
        <f t="shared" si="4"/>
        <v>-1740</v>
      </c>
      <c r="AG29" s="46">
        <f t="shared" si="5"/>
        <v>960</v>
      </c>
      <c r="AH29" s="51">
        <f t="shared" si="6"/>
        <v>-780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7">
        <f t="shared" si="0"/>
        <v>0</v>
      </c>
      <c r="R30" s="118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18380</v>
      </c>
      <c r="D31" s="6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7">
        <f t="shared" si="0"/>
        <v>0</v>
      </c>
      <c r="R31" s="118">
        <v>1000</v>
      </c>
      <c r="S31" s="6">
        <f t="shared" si="1"/>
        <v>17380</v>
      </c>
      <c r="T31" s="6">
        <v>-17180</v>
      </c>
      <c r="U31" s="6">
        <f t="shared" si="2"/>
        <v>200</v>
      </c>
      <c r="V31" s="52"/>
      <c r="W31" s="57"/>
      <c r="X31" s="46"/>
      <c r="Y31" s="61"/>
      <c r="Z31" s="66">
        <f t="shared" si="3"/>
        <v>-17380</v>
      </c>
      <c r="AA31" s="61"/>
      <c r="AB31" s="64"/>
      <c r="AC31" s="61"/>
      <c r="AD31" s="66"/>
      <c r="AE31" s="61"/>
      <c r="AF31" s="52">
        <f t="shared" si="4"/>
        <v>-17380</v>
      </c>
      <c r="AG31" s="46">
        <f t="shared" si="5"/>
        <v>-17180</v>
      </c>
      <c r="AH31" s="51">
        <f t="shared" si="6"/>
        <v>-34560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29380</v>
      </c>
      <c r="D32" s="6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6"/>
      <c r="P32" s="6"/>
      <c r="Q32" s="7">
        <f>SUM(E32:P32)</f>
        <v>0</v>
      </c>
      <c r="R32" s="118">
        <v>3000</v>
      </c>
      <c r="S32" s="6">
        <f t="shared" si="1"/>
        <v>26380</v>
      </c>
      <c r="T32" s="6">
        <v>-18280</v>
      </c>
      <c r="U32" s="6">
        <f t="shared" si="2"/>
        <v>8100</v>
      </c>
      <c r="V32" s="52"/>
      <c r="W32" s="57"/>
      <c r="X32" s="46"/>
      <c r="Y32" s="61"/>
      <c r="Z32" s="66">
        <f t="shared" si="3"/>
        <v>-26380</v>
      </c>
      <c r="AA32" s="61"/>
      <c r="AB32" s="67"/>
      <c r="AC32" s="61"/>
      <c r="AD32" s="66"/>
      <c r="AE32" s="61"/>
      <c r="AF32" s="52">
        <f t="shared" si="4"/>
        <v>-26380</v>
      </c>
      <c r="AG32" s="46">
        <f t="shared" si="5"/>
        <v>-18280</v>
      </c>
      <c r="AH32" s="51">
        <f t="shared" si="6"/>
        <v>-44660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7">
        <f t="shared" si="0"/>
        <v>0</v>
      </c>
      <c r="R33" s="118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18"/>
      <c r="F34" s="118"/>
      <c r="G34" s="118"/>
      <c r="H34" s="118"/>
      <c r="I34" s="118"/>
      <c r="J34" s="118"/>
      <c r="K34" s="6"/>
      <c r="L34" s="118"/>
      <c r="M34" s="118"/>
      <c r="N34" s="118"/>
      <c r="O34" s="118"/>
      <c r="P34" s="118"/>
      <c r="Q34" s="7">
        <f t="shared" si="0"/>
        <v>0</v>
      </c>
      <c r="R34" s="118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18"/>
      <c r="F35" s="118"/>
      <c r="G35" s="118"/>
      <c r="H35" s="118"/>
      <c r="I35" s="118"/>
      <c r="J35" s="118"/>
      <c r="K35" s="6">
        <v>10060</v>
      </c>
      <c r="L35" s="118"/>
      <c r="M35" s="118"/>
      <c r="N35" s="118"/>
      <c r="O35" s="118"/>
      <c r="P35" s="118"/>
      <c r="Q35" s="7">
        <f t="shared" si="0"/>
        <v>10060</v>
      </c>
      <c r="R35" s="118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7">
        <f t="shared" si="0"/>
        <v>0</v>
      </c>
      <c r="R36" s="118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7">
        <f t="shared" si="0"/>
        <v>0</v>
      </c>
      <c r="R37" s="118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v>11920</v>
      </c>
      <c r="D38" s="6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7">
        <f>SUM(E38:P38)</f>
        <v>0</v>
      </c>
      <c r="R38" s="118">
        <v>6000</v>
      </c>
      <c r="S38" s="6">
        <f t="shared" si="1"/>
        <v>5920</v>
      </c>
      <c r="T38" s="6">
        <v>-1340</v>
      </c>
      <c r="U38" s="6">
        <f t="shared" si="2"/>
        <v>4580</v>
      </c>
      <c r="V38" s="52"/>
      <c r="W38" s="57"/>
      <c r="X38" s="46"/>
      <c r="Y38" s="61"/>
      <c r="Z38" s="66">
        <f t="shared" si="3"/>
        <v>-5920</v>
      </c>
      <c r="AA38" s="61"/>
      <c r="AB38" s="64"/>
      <c r="AC38" s="61"/>
      <c r="AD38" s="66"/>
      <c r="AE38" s="61"/>
      <c r="AF38" s="52">
        <f t="shared" si="4"/>
        <v>-5920</v>
      </c>
      <c r="AG38" s="46">
        <f t="shared" si="5"/>
        <v>-1340</v>
      </c>
      <c r="AH38" s="51">
        <f t="shared" si="6"/>
        <v>-7260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7">
        <f>SUM(E39:P39)</f>
        <v>0</v>
      </c>
      <c r="R39" s="118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v>10220</v>
      </c>
      <c r="D40" s="6">
        <v>3000</v>
      </c>
      <c r="E40" s="118"/>
      <c r="F40" s="118"/>
      <c r="G40" s="118"/>
      <c r="H40" s="27"/>
      <c r="I40" s="118"/>
      <c r="J40" s="118"/>
      <c r="K40" s="118"/>
      <c r="L40" s="118"/>
      <c r="M40" s="118"/>
      <c r="N40" s="118"/>
      <c r="O40" s="118"/>
      <c r="P40" s="118"/>
      <c r="Q40" s="7">
        <f>SUM(E40:P40)</f>
        <v>0</v>
      </c>
      <c r="R40" s="118">
        <v>800</v>
      </c>
      <c r="S40" s="6">
        <f t="shared" si="1"/>
        <v>12420</v>
      </c>
      <c r="T40" s="6">
        <f>-10260+40</f>
        <v>-10220</v>
      </c>
      <c r="U40" s="6">
        <f t="shared" si="2"/>
        <v>2200</v>
      </c>
      <c r="V40" s="52"/>
      <c r="W40" s="57"/>
      <c r="X40" s="46"/>
      <c r="Y40" s="61"/>
      <c r="Z40" s="66">
        <f t="shared" si="3"/>
        <v>-12420</v>
      </c>
      <c r="AA40" s="61"/>
      <c r="AB40" s="67"/>
      <c r="AC40" s="61"/>
      <c r="AD40" s="66"/>
      <c r="AE40" s="61"/>
      <c r="AF40" s="52">
        <f t="shared" si="4"/>
        <v>-12420</v>
      </c>
      <c r="AG40" s="46">
        <f t="shared" si="5"/>
        <v>-10220</v>
      </c>
      <c r="AH40" s="51">
        <f t="shared" si="6"/>
        <v>-22640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7">
        <f>SUM(E41:P41)</f>
        <v>0</v>
      </c>
      <c r="R41" s="118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7">
        <f>SUM(E42:P42)</f>
        <v>0</v>
      </c>
      <c r="R42" s="118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7">
        <f t="shared" si="0"/>
        <v>0</v>
      </c>
      <c r="R44" s="118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7">
        <f t="shared" si="0"/>
        <v>0</v>
      </c>
      <c r="R45" s="118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7">
        <f t="shared" si="0"/>
        <v>0</v>
      </c>
      <c r="R46" s="118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7">
        <f t="shared" si="0"/>
        <v>0</v>
      </c>
      <c r="R47" s="118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7">
        <f t="shared" si="0"/>
        <v>0</v>
      </c>
      <c r="R48" s="118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7">
        <f t="shared" si="0"/>
        <v>0</v>
      </c>
      <c r="R49" s="118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14575</v>
      </c>
      <c r="D50" s="6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7">
        <f t="shared" si="0"/>
        <v>0</v>
      </c>
      <c r="R50" s="118">
        <v>6000</v>
      </c>
      <c r="S50" s="6">
        <f t="shared" si="1"/>
        <v>8575</v>
      </c>
      <c r="T50" s="6">
        <f>-12000+8615</f>
        <v>-3385</v>
      </c>
      <c r="U50" s="6">
        <f t="shared" si="2"/>
        <v>5190</v>
      </c>
      <c r="V50" s="52"/>
      <c r="W50" s="57"/>
      <c r="X50" s="46"/>
      <c r="Y50" s="61"/>
      <c r="Z50" s="66">
        <f t="shared" si="3"/>
        <v>-8575</v>
      </c>
      <c r="AA50" s="61"/>
      <c r="AB50" s="64"/>
      <c r="AC50" s="61"/>
      <c r="AD50" s="66"/>
      <c r="AE50" s="61"/>
      <c r="AF50" s="52">
        <f t="shared" si="4"/>
        <v>-8575</v>
      </c>
      <c r="AG50" s="46">
        <f t="shared" si="5"/>
        <v>-3385</v>
      </c>
      <c r="AH50" s="51">
        <f t="shared" si="6"/>
        <v>-11960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7">
        <f t="shared" si="0"/>
        <v>0</v>
      </c>
      <c r="R51" s="118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18"/>
      <c r="F52" s="118"/>
      <c r="G52" s="118"/>
      <c r="H52" s="118"/>
      <c r="I52" s="118">
        <v>1100</v>
      </c>
      <c r="J52" s="118"/>
      <c r="K52" s="118"/>
      <c r="L52" s="118"/>
      <c r="M52" s="118"/>
      <c r="N52" s="118"/>
      <c r="O52" s="118"/>
      <c r="P52" s="118"/>
      <c r="Q52" s="7">
        <f t="shared" si="0"/>
        <v>1100</v>
      </c>
      <c r="R52" s="118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7">
        <f t="shared" si="0"/>
        <v>0</v>
      </c>
      <c r="R53" s="118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5950</v>
      </c>
      <c r="D54" s="6"/>
      <c r="E54" s="118"/>
      <c r="F54" s="118"/>
      <c r="G54" s="118"/>
      <c r="H54" s="118"/>
      <c r="I54" s="118">
        <v>4000</v>
      </c>
      <c r="J54" s="118"/>
      <c r="K54" s="118"/>
      <c r="L54" s="118"/>
      <c r="M54" s="118"/>
      <c r="N54" s="118"/>
      <c r="O54" s="118"/>
      <c r="P54" s="118"/>
      <c r="Q54" s="7">
        <f t="shared" si="0"/>
        <v>4000</v>
      </c>
      <c r="R54" s="118">
        <v>800</v>
      </c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7">
        <f t="shared" si="0"/>
        <v>0</v>
      </c>
      <c r="R55" s="118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7">
        <f>SUM(E56:P56)</f>
        <v>0</v>
      </c>
      <c r="R56" s="118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7">
        <f t="shared" si="0"/>
        <v>0</v>
      </c>
      <c r="R61" s="118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7">
        <f t="shared" si="0"/>
        <v>0</v>
      </c>
      <c r="R62" s="117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7">
        <f t="shared" si="0"/>
        <v>0</v>
      </c>
      <c r="R63" s="117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7">
        <f t="shared" si="0"/>
        <v>0</v>
      </c>
      <c r="R64" s="117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7">
        <f t="shared" si="0"/>
        <v>0</v>
      </c>
      <c r="R65" s="117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16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2450</v>
      </c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7">
        <f t="shared" si="0"/>
        <v>0</v>
      </c>
      <c r="R67" s="118"/>
      <c r="S67" s="6">
        <f t="shared" si="1"/>
        <v>2450</v>
      </c>
      <c r="T67" s="6">
        <v>-1525</v>
      </c>
      <c r="U67" s="6">
        <f t="shared" si="2"/>
        <v>925</v>
      </c>
      <c r="V67" s="52"/>
      <c r="W67" s="57"/>
      <c r="X67" s="46"/>
      <c r="Y67" s="61"/>
      <c r="Z67" s="66">
        <f t="shared" si="3"/>
        <v>-2450</v>
      </c>
      <c r="AA67" s="61"/>
      <c r="AB67" s="67"/>
      <c r="AC67" s="61"/>
      <c r="AD67" s="66"/>
      <c r="AE67" s="61"/>
      <c r="AF67" s="52">
        <f t="shared" si="4"/>
        <v>-2450</v>
      </c>
      <c r="AG67" s="46">
        <f t="shared" si="5"/>
        <v>-1525</v>
      </c>
      <c r="AH67" s="51">
        <f t="shared" si="6"/>
        <v>-3975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7">
        <f t="shared" si="0"/>
        <v>0</v>
      </c>
      <c r="R68" s="118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25325</v>
      </c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7">
        <f t="shared" si="0"/>
        <v>0</v>
      </c>
      <c r="R69" s="118"/>
      <c r="S69" s="6">
        <f t="shared" si="1"/>
        <v>25325</v>
      </c>
      <c r="T69" s="6">
        <v>-16950</v>
      </c>
      <c r="U69" s="6">
        <f t="shared" si="2"/>
        <v>8375</v>
      </c>
      <c r="V69" s="52"/>
      <c r="W69" s="57"/>
      <c r="X69" s="46"/>
      <c r="Y69" s="61"/>
      <c r="Z69" s="66">
        <f t="shared" si="3"/>
        <v>-25325</v>
      </c>
      <c r="AA69" s="61"/>
      <c r="AB69" s="64"/>
      <c r="AC69" s="61"/>
      <c r="AD69" s="66"/>
      <c r="AE69" s="61"/>
      <c r="AF69" s="52">
        <f t="shared" si="4"/>
        <v>-25325</v>
      </c>
      <c r="AG69" s="46">
        <f t="shared" si="5"/>
        <v>-16950</v>
      </c>
      <c r="AH69" s="51">
        <f t="shared" si="6"/>
        <v>-42275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14950</v>
      </c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7">
        <f t="shared" si="0"/>
        <v>0</v>
      </c>
      <c r="R70" s="118">
        <f>1000+500</f>
        <v>1500</v>
      </c>
      <c r="S70" s="6">
        <f t="shared" si="1"/>
        <v>13450</v>
      </c>
      <c r="T70" s="6">
        <v>-9425</v>
      </c>
      <c r="U70" s="6">
        <f t="shared" si="2"/>
        <v>4025</v>
      </c>
      <c r="V70" s="52"/>
      <c r="W70" s="57"/>
      <c r="X70" s="46"/>
      <c r="Y70" s="61"/>
      <c r="Z70" s="66">
        <f t="shared" si="3"/>
        <v>-13450</v>
      </c>
      <c r="AA70" s="61"/>
      <c r="AB70" s="67"/>
      <c r="AC70" s="61"/>
      <c r="AD70" s="66"/>
      <c r="AE70" s="61"/>
      <c r="AF70" s="52">
        <f t="shared" si="4"/>
        <v>-13450</v>
      </c>
      <c r="AG70" s="46">
        <f t="shared" si="5"/>
        <v>-9425</v>
      </c>
      <c r="AH70" s="51">
        <f t="shared" si="6"/>
        <v>-22875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27525</v>
      </c>
      <c r="D71" s="118">
        <v>7500</v>
      </c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7">
        <f t="shared" si="0"/>
        <v>0</v>
      </c>
      <c r="R71" s="118">
        <v>1200</v>
      </c>
      <c r="S71" s="6">
        <f t="shared" si="1"/>
        <v>33825</v>
      </c>
      <c r="T71" s="6">
        <v>-27500</v>
      </c>
      <c r="U71" s="6">
        <f t="shared" si="2"/>
        <v>6325</v>
      </c>
      <c r="V71" s="52"/>
      <c r="W71" s="57"/>
      <c r="X71" s="46"/>
      <c r="Y71" s="61"/>
      <c r="Z71" s="66">
        <f t="shared" si="3"/>
        <v>-33825</v>
      </c>
      <c r="AA71" s="61"/>
      <c r="AB71" s="64"/>
      <c r="AC71" s="61"/>
      <c r="AD71" s="66"/>
      <c r="AE71" s="61"/>
      <c r="AF71" s="52">
        <f t="shared" si="4"/>
        <v>-33825</v>
      </c>
      <c r="AG71" s="46">
        <f t="shared" si="5"/>
        <v>-27500</v>
      </c>
      <c r="AH71" s="51">
        <f t="shared" si="6"/>
        <v>-61325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18">
        <f>SUM(C7:C72)</f>
        <v>397325</v>
      </c>
      <c r="D73" s="118">
        <f t="shared" ref="D73:V73" si="11">SUM(D7:D72)</f>
        <v>73500</v>
      </c>
      <c r="E73" s="118">
        <f t="shared" si="11"/>
        <v>0</v>
      </c>
      <c r="F73" s="118">
        <f t="shared" si="11"/>
        <v>0</v>
      </c>
      <c r="G73" s="118">
        <f t="shared" si="11"/>
        <v>0</v>
      </c>
      <c r="H73" s="27">
        <f t="shared" si="11"/>
        <v>0</v>
      </c>
      <c r="I73" s="118">
        <f t="shared" si="11"/>
        <v>5100</v>
      </c>
      <c r="J73" s="118">
        <f t="shared" si="11"/>
        <v>0</v>
      </c>
      <c r="K73" s="118">
        <f t="shared" si="11"/>
        <v>10060</v>
      </c>
      <c r="L73" s="118">
        <f t="shared" si="11"/>
        <v>0</v>
      </c>
      <c r="M73" s="118">
        <f t="shared" si="11"/>
        <v>0</v>
      </c>
      <c r="N73" s="118">
        <f t="shared" si="11"/>
        <v>0</v>
      </c>
      <c r="O73" s="118">
        <f t="shared" si="11"/>
        <v>0</v>
      </c>
      <c r="P73" s="118">
        <f t="shared" si="11"/>
        <v>0</v>
      </c>
      <c r="Q73" s="118">
        <f t="shared" si="11"/>
        <v>15160</v>
      </c>
      <c r="R73" s="118">
        <f t="shared" si="11"/>
        <v>62450</v>
      </c>
      <c r="S73" s="118">
        <f t="shared" si="11"/>
        <v>408375</v>
      </c>
      <c r="T73" s="118">
        <f t="shared" si="11"/>
        <v>-286670</v>
      </c>
      <c r="U73" s="118">
        <f t="shared" si="11"/>
        <v>121705</v>
      </c>
      <c r="V73" s="118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-408375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-408375</v>
      </c>
      <c r="AG73" s="43">
        <f t="shared" si="12"/>
        <v>-286670</v>
      </c>
      <c r="AH73" s="43">
        <f t="shared" si="12"/>
        <v>-695045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15160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</f>
        <v>243985</v>
      </c>
      <c r="S74" s="211"/>
      <c r="T74" s="212">
        <f>R74+R75</f>
        <v>579095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73500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</f>
        <v>335110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62450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</f>
        <v>415180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</f>
        <v>63650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v>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63650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46350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42310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351530</v>
      </c>
      <c r="S80" s="197"/>
      <c r="T80" s="22"/>
      <c r="U80" s="22"/>
      <c r="V80" s="2"/>
      <c r="X80" s="63">
        <f>SUM(X77:X79)</f>
        <v>88660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15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/>
      <c r="R95" s="36"/>
      <c r="S95" s="36">
        <v>9</v>
      </c>
      <c r="T95" s="36"/>
      <c r="U95" s="36">
        <v>9</v>
      </c>
      <c r="V95" s="36"/>
      <c r="W95" s="36"/>
      <c r="X95" s="36">
        <f t="shared" si="13"/>
        <v>0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6000</v>
      </c>
      <c r="R118" s="63">
        <f t="shared" si="14"/>
        <v>73100</v>
      </c>
      <c r="S118" s="63"/>
      <c r="T118" s="63">
        <f>SUM(T87:T117)</f>
        <v>415180</v>
      </c>
      <c r="U118" s="63"/>
      <c r="V118" s="63">
        <f>SUM(V87:V117)</f>
        <v>243985</v>
      </c>
      <c r="W118" s="63">
        <f>SUM(W87:W117)</f>
        <v>335110</v>
      </c>
      <c r="X118" s="36">
        <f>SUM(V118:W118)</f>
        <v>579095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W145"/>
  <sheetViews>
    <sheetView zoomScale="115" zoomScaleNormal="115" workbookViewId="0">
      <pane xSplit="2" ySplit="6" topLeftCell="C58" activePane="bottomRight" state="frozen"/>
      <selection activeCell="O32" sqref="O32"/>
      <selection pane="topRight" activeCell="O32" sqref="O32"/>
      <selection pane="bottomLeft" activeCell="O32" sqref="O32"/>
      <selection pane="bottomRight" activeCell="K73" sqref="K73"/>
    </sheetView>
  </sheetViews>
  <sheetFormatPr defaultRowHeight="14.4"/>
  <cols>
    <col min="1" max="1" width="2.5546875" style="1" customWidth="1"/>
    <col min="2" max="2" width="13.77734375" style="1" customWidth="1"/>
    <col min="3" max="3" width="4.6640625" style="1" customWidth="1"/>
    <col min="4" max="4" width="4.5546875" style="1" customWidth="1"/>
    <col min="5" max="5" width="3.44140625" style="1" customWidth="1"/>
    <col min="6" max="6" width="3.5546875" style="1" customWidth="1"/>
    <col min="7" max="7" width="3.77734375" style="1" customWidth="1"/>
    <col min="8" max="8" width="3.21875" style="1" customWidth="1"/>
    <col min="9" max="9" width="3.6640625" style="1" customWidth="1"/>
    <col min="10" max="10" width="3.44140625" style="1" customWidth="1"/>
    <col min="11" max="11" width="4.21875" style="1" customWidth="1"/>
    <col min="12" max="12" width="4.109375" style="1" customWidth="1"/>
    <col min="13" max="13" width="3.77734375" style="1" customWidth="1"/>
    <col min="14" max="14" width="3.5546875" style="1" customWidth="1"/>
    <col min="15" max="15" width="3.77734375" style="1" customWidth="1"/>
    <col min="16" max="16" width="3.44140625" style="1" customWidth="1"/>
    <col min="17" max="17" width="5.44140625" style="1" customWidth="1"/>
    <col min="18" max="19" width="5.109375" style="1" customWidth="1"/>
    <col min="20" max="21" width="4.77734375" style="1" customWidth="1"/>
    <col min="22" max="22" width="4.5546875" style="1" customWidth="1"/>
    <col min="23" max="23" width="4.77734375" style="1" customWidth="1"/>
    <col min="24" max="24" width="8" style="1" customWidth="1"/>
    <col min="25" max="25" width="3.77734375" style="1" customWidth="1"/>
    <col min="26" max="26" width="4.88671875" style="1" customWidth="1"/>
    <col min="27" max="27" width="5" style="1" customWidth="1"/>
    <col min="28" max="31" width="3.77734375" style="1" customWidth="1"/>
    <col min="32" max="32" width="4.44140625" style="1" customWidth="1"/>
    <col min="33" max="33" width="5.44140625" style="1" customWidth="1"/>
    <col min="34" max="34" width="5.77734375" style="1" customWidth="1"/>
    <col min="35" max="39" width="3.77734375" style="1" customWidth="1"/>
    <col min="40" max="40" width="1.33203125" style="1" customWidth="1"/>
    <col min="41" max="44" width="3.77734375" style="1" customWidth="1"/>
    <col min="45" max="45" width="1.44140625" style="1" customWidth="1"/>
    <col min="46" max="49" width="3.77734375" style="1" customWidth="1"/>
    <col min="50" max="16384" width="8.88671875" style="1"/>
  </cols>
  <sheetData>
    <row r="1" spans="1:49" ht="11.4" customHeight="1">
      <c r="A1" s="249" t="s">
        <v>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49" ht="7.8" customHeight="1">
      <c r="A2" s="250" t="s">
        <v>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49" ht="9.6" customHeight="1">
      <c r="A3" s="251" t="s">
        <v>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49" ht="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52" t="s">
        <v>160</v>
      </c>
      <c r="S4" s="252"/>
      <c r="T4" s="252"/>
      <c r="U4" s="252"/>
      <c r="V4" s="252"/>
      <c r="AG4" s="253" t="s">
        <v>116</v>
      </c>
      <c r="AH4" s="253"/>
    </row>
    <row r="5" spans="1:49" ht="9.6" customHeight="1">
      <c r="A5" s="222" t="s">
        <v>4</v>
      </c>
      <c r="B5" s="224" t="s">
        <v>5</v>
      </c>
      <c r="C5" s="226" t="s">
        <v>82</v>
      </c>
      <c r="D5" s="228" t="s">
        <v>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  <c r="Q5" s="231" t="s">
        <v>0</v>
      </c>
      <c r="R5" s="245" t="s">
        <v>7</v>
      </c>
      <c r="S5" s="226" t="s">
        <v>83</v>
      </c>
      <c r="T5" s="226" t="s">
        <v>84</v>
      </c>
      <c r="U5" s="226" t="s">
        <v>85</v>
      </c>
      <c r="V5" s="247" t="s">
        <v>87</v>
      </c>
      <c r="W5" s="248" t="s">
        <v>134</v>
      </c>
      <c r="X5" s="50"/>
      <c r="Y5" s="218" t="s">
        <v>103</v>
      </c>
      <c r="Z5" s="218"/>
      <c r="AA5" s="218"/>
      <c r="AB5" s="218"/>
      <c r="AC5" s="218"/>
      <c r="AD5" s="218"/>
      <c r="AE5" s="218"/>
      <c r="AF5" s="218"/>
      <c r="AG5" s="219" t="s">
        <v>102</v>
      </c>
      <c r="AH5" s="220" t="s">
        <v>84</v>
      </c>
      <c r="AI5" s="44"/>
      <c r="AJ5" s="221"/>
      <c r="AK5" s="221"/>
      <c r="AL5" s="221"/>
      <c r="AM5" s="221"/>
      <c r="AN5" s="44"/>
      <c r="AO5" s="221"/>
      <c r="AP5" s="221"/>
      <c r="AQ5" s="221"/>
      <c r="AR5" s="221"/>
      <c r="AS5" s="44"/>
      <c r="AT5" s="221"/>
      <c r="AU5" s="221"/>
      <c r="AV5" s="221"/>
      <c r="AW5" s="221"/>
    </row>
    <row r="6" spans="1:49" ht="15.6" customHeight="1">
      <c r="A6" s="223"/>
      <c r="B6" s="225"/>
      <c r="C6" s="227"/>
      <c r="D6" s="21" t="s">
        <v>14</v>
      </c>
      <c r="E6" s="37" t="s">
        <v>130</v>
      </c>
      <c r="F6" s="37" t="s">
        <v>139</v>
      </c>
      <c r="G6" s="31" t="s">
        <v>18</v>
      </c>
      <c r="H6" s="31" t="s">
        <v>109</v>
      </c>
      <c r="I6" s="37" t="s">
        <v>138</v>
      </c>
      <c r="J6" s="37" t="s">
        <v>141</v>
      </c>
      <c r="K6" s="31" t="s">
        <v>123</v>
      </c>
      <c r="L6" s="37" t="s">
        <v>143</v>
      </c>
      <c r="M6" s="37" t="s">
        <v>110</v>
      </c>
      <c r="N6" s="37" t="s">
        <v>140</v>
      </c>
      <c r="O6" s="37" t="s">
        <v>149</v>
      </c>
      <c r="P6" s="30" t="s">
        <v>157</v>
      </c>
      <c r="Q6" s="232"/>
      <c r="R6" s="246"/>
      <c r="S6" s="227"/>
      <c r="T6" s="227"/>
      <c r="U6" s="227"/>
      <c r="V6" s="247"/>
      <c r="W6" s="248"/>
      <c r="X6" s="45"/>
      <c r="Y6" s="42" t="s">
        <v>98</v>
      </c>
      <c r="Z6" s="42" t="s">
        <v>99</v>
      </c>
      <c r="AA6" s="42" t="s">
        <v>95</v>
      </c>
      <c r="AB6" s="42" t="s">
        <v>100</v>
      </c>
      <c r="AC6" s="42" t="s">
        <v>101</v>
      </c>
      <c r="AD6" s="42" t="s">
        <v>105</v>
      </c>
      <c r="AE6" s="42" t="s">
        <v>108</v>
      </c>
      <c r="AF6" s="56" t="s">
        <v>0</v>
      </c>
      <c r="AG6" s="219"/>
      <c r="AH6" s="220"/>
      <c r="AI6" s="44"/>
      <c r="AJ6" s="45"/>
      <c r="AK6" s="45"/>
      <c r="AL6" s="45"/>
      <c r="AM6" s="45"/>
      <c r="AN6" s="44"/>
      <c r="AO6" s="45"/>
      <c r="AP6" s="45"/>
      <c r="AQ6" s="45"/>
      <c r="AR6" s="45"/>
      <c r="AS6" s="44"/>
      <c r="AT6" s="45"/>
      <c r="AU6" s="45"/>
      <c r="AV6" s="45"/>
      <c r="AW6" s="45"/>
    </row>
    <row r="7" spans="1:49" ht="9.3000000000000007" customHeight="1">
      <c r="A7" s="233" t="s">
        <v>67</v>
      </c>
      <c r="B7" s="10" t="s">
        <v>19</v>
      </c>
      <c r="C7" s="32">
        <v>12750</v>
      </c>
      <c r="D7" s="6">
        <v>4150</v>
      </c>
      <c r="E7" s="6"/>
      <c r="F7" s="6"/>
      <c r="G7" s="6"/>
      <c r="H7" s="6"/>
      <c r="I7" s="6"/>
      <c r="J7" s="6"/>
      <c r="K7" s="6">
        <v>3000</v>
      </c>
      <c r="L7" s="6"/>
      <c r="M7" s="6"/>
      <c r="N7" s="6"/>
      <c r="O7" s="6"/>
      <c r="P7" s="6"/>
      <c r="Q7" s="7">
        <f t="shared" ref="Q7:Q71" si="0">SUM(E7:P7)</f>
        <v>3000</v>
      </c>
      <c r="R7" s="6">
        <v>500</v>
      </c>
      <c r="S7" s="6">
        <f>C7+D7-R7</f>
        <v>16400</v>
      </c>
      <c r="T7" s="34">
        <v>-9150</v>
      </c>
      <c r="U7" s="6">
        <f>S7+T7</f>
        <v>7250</v>
      </c>
      <c r="V7" s="52"/>
      <c r="W7" s="57"/>
      <c r="X7" s="46"/>
      <c r="Y7" s="65"/>
      <c r="Z7" s="66">
        <f>W7-S7</f>
        <v>-16400</v>
      </c>
      <c r="AA7" s="65"/>
      <c r="AB7" s="67"/>
      <c r="AC7" s="65"/>
      <c r="AD7" s="47"/>
      <c r="AE7" s="61"/>
      <c r="AF7" s="52">
        <f>SUM(Y7:AE7)</f>
        <v>-16400</v>
      </c>
      <c r="AG7" s="46">
        <f>U7+AF7</f>
        <v>-9150</v>
      </c>
      <c r="AH7" s="51">
        <f>AG7-S7</f>
        <v>-25550</v>
      </c>
      <c r="AI7" s="46"/>
      <c r="AJ7" s="47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ht="9.3000000000000007" customHeight="1">
      <c r="A8" s="234"/>
      <c r="B8" s="10" t="s">
        <v>20</v>
      </c>
      <c r="C8" s="32">
        <v>34000</v>
      </c>
      <c r="D8" s="6"/>
      <c r="E8" s="6"/>
      <c r="F8" s="6"/>
      <c r="G8" s="6"/>
      <c r="H8" s="6"/>
      <c r="I8" s="6"/>
      <c r="J8" s="6"/>
      <c r="K8" s="6">
        <f>5000+2000</f>
        <v>7000</v>
      </c>
      <c r="L8" s="6"/>
      <c r="M8" s="6"/>
      <c r="N8" s="6"/>
      <c r="O8" s="6"/>
      <c r="P8" s="6"/>
      <c r="Q8" s="7">
        <f t="shared" si="0"/>
        <v>7000</v>
      </c>
      <c r="R8" s="6">
        <v>100</v>
      </c>
      <c r="S8" s="6">
        <f t="shared" ref="S8:S71" si="1">C8+D8-R8</f>
        <v>33900</v>
      </c>
      <c r="T8" s="6">
        <v>-24350</v>
      </c>
      <c r="U8" s="6">
        <f t="shared" ref="U8:U71" si="2">S8+T8</f>
        <v>9550</v>
      </c>
      <c r="V8" s="52"/>
      <c r="W8" s="57"/>
      <c r="X8" s="46"/>
      <c r="Y8" s="61"/>
      <c r="Z8" s="66">
        <f t="shared" ref="Z8:Z71" si="3">W8-S8</f>
        <v>-33900</v>
      </c>
      <c r="AA8" s="61"/>
      <c r="AB8" s="67"/>
      <c r="AC8" s="61"/>
      <c r="AD8" s="66"/>
      <c r="AE8" s="61"/>
      <c r="AF8" s="52">
        <f t="shared" ref="AF8:AF71" si="4">SUM(Y8:AE8)</f>
        <v>-33900</v>
      </c>
      <c r="AG8" s="46">
        <f t="shared" ref="AG8:AG71" si="5">U8+AF8</f>
        <v>-24350</v>
      </c>
      <c r="AH8" s="51">
        <f t="shared" ref="AH8:AH71" si="6">AG8-S8</f>
        <v>-58250</v>
      </c>
      <c r="AI8" s="46"/>
      <c r="AJ8" s="47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ht="9.3000000000000007" customHeight="1">
      <c r="A9" s="234"/>
      <c r="B9" s="10" t="s">
        <v>21</v>
      </c>
      <c r="C9" s="32">
        <v>6550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>
        <f t="shared" si="0"/>
        <v>0</v>
      </c>
      <c r="R9" s="6"/>
      <c r="S9" s="6">
        <f t="shared" si="1"/>
        <v>6550</v>
      </c>
      <c r="T9" s="6">
        <v>-6550</v>
      </c>
      <c r="U9" s="6">
        <f t="shared" si="2"/>
        <v>0</v>
      </c>
      <c r="V9" s="52"/>
      <c r="W9" s="57"/>
      <c r="X9" s="46"/>
      <c r="Y9" s="61"/>
      <c r="Z9" s="66">
        <f t="shared" si="3"/>
        <v>-6550</v>
      </c>
      <c r="AA9" s="61"/>
      <c r="AB9" s="67"/>
      <c r="AC9" s="61"/>
      <c r="AD9" s="66"/>
      <c r="AE9" s="61"/>
      <c r="AF9" s="52">
        <f t="shared" si="4"/>
        <v>-6550</v>
      </c>
      <c r="AG9" s="46">
        <f t="shared" si="5"/>
        <v>-6550</v>
      </c>
      <c r="AH9" s="51">
        <f t="shared" si="6"/>
        <v>-13100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ht="9.3000000000000007" customHeight="1">
      <c r="A10" s="234"/>
      <c r="B10" s="10" t="s">
        <v>22</v>
      </c>
      <c r="C10" s="32">
        <v>5175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>
        <f t="shared" si="0"/>
        <v>0</v>
      </c>
      <c r="R10" s="6"/>
      <c r="S10" s="6">
        <f t="shared" si="1"/>
        <v>5175</v>
      </c>
      <c r="T10" s="6">
        <v>-5175</v>
      </c>
      <c r="U10" s="6">
        <f t="shared" si="2"/>
        <v>0</v>
      </c>
      <c r="V10" s="52"/>
      <c r="W10" s="57"/>
      <c r="X10" s="46"/>
      <c r="Y10" s="61"/>
      <c r="Z10" s="66">
        <f t="shared" si="3"/>
        <v>-5175</v>
      </c>
      <c r="AA10" s="61"/>
      <c r="AB10" s="67"/>
      <c r="AC10" s="61"/>
      <c r="AD10" s="66"/>
      <c r="AE10" s="61"/>
      <c r="AF10" s="52">
        <f t="shared" si="4"/>
        <v>-5175</v>
      </c>
      <c r="AG10" s="46">
        <f t="shared" si="5"/>
        <v>-5175</v>
      </c>
      <c r="AH10" s="51">
        <f t="shared" si="6"/>
        <v>-10350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ht="9.3000000000000007" customHeight="1">
      <c r="A11" s="234"/>
      <c r="B11" s="10" t="s">
        <v>23</v>
      </c>
      <c r="C11" s="32">
        <v>3750</v>
      </c>
      <c r="D11" s="6">
        <v>4950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>
        <f t="shared" si="0"/>
        <v>0</v>
      </c>
      <c r="R11" s="6">
        <f>100+300+2000+500</f>
        <v>2900</v>
      </c>
      <c r="S11" s="6">
        <f t="shared" si="1"/>
        <v>5800</v>
      </c>
      <c r="T11" s="6">
        <v>-3750</v>
      </c>
      <c r="U11" s="6">
        <f t="shared" si="2"/>
        <v>2050</v>
      </c>
      <c r="V11" s="52"/>
      <c r="W11" s="57"/>
      <c r="X11" s="46"/>
      <c r="Y11" s="61"/>
      <c r="Z11" s="66">
        <f t="shared" si="3"/>
        <v>-5800</v>
      </c>
      <c r="AA11" s="61"/>
      <c r="AB11" s="67"/>
      <c r="AC11" s="61"/>
      <c r="AD11" s="66"/>
      <c r="AE11" s="61"/>
      <c r="AF11" s="52">
        <f t="shared" si="4"/>
        <v>-5800</v>
      </c>
      <c r="AG11" s="46">
        <f t="shared" si="5"/>
        <v>-3750</v>
      </c>
      <c r="AH11" s="51">
        <f t="shared" si="6"/>
        <v>-9550</v>
      </c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ht="9.3000000000000007" customHeight="1">
      <c r="A12" s="234"/>
      <c r="B12" s="10" t="s">
        <v>24</v>
      </c>
      <c r="C12" s="32">
        <v>-3400</v>
      </c>
      <c r="D12" s="6">
        <v>4950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>
        <f t="shared" si="0"/>
        <v>0</v>
      </c>
      <c r="R12" s="6">
        <v>500</v>
      </c>
      <c r="S12" s="6">
        <f t="shared" si="1"/>
        <v>1050</v>
      </c>
      <c r="T12" s="6">
        <v>4700</v>
      </c>
      <c r="U12" s="6">
        <f t="shared" si="2"/>
        <v>5750</v>
      </c>
      <c r="V12" s="52"/>
      <c r="W12" s="57"/>
      <c r="X12" s="46"/>
      <c r="Y12" s="61"/>
      <c r="Z12" s="66">
        <f t="shared" si="3"/>
        <v>-1050</v>
      </c>
      <c r="AA12" s="61"/>
      <c r="AB12" s="67"/>
      <c r="AC12" s="61"/>
      <c r="AD12" s="66"/>
      <c r="AE12" s="61"/>
      <c r="AF12" s="52">
        <f t="shared" si="4"/>
        <v>-1050</v>
      </c>
      <c r="AG12" s="46">
        <f t="shared" si="5"/>
        <v>4700</v>
      </c>
      <c r="AH12" s="51">
        <f t="shared" si="6"/>
        <v>3650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ht="9.3000000000000007" customHeight="1">
      <c r="A13" s="234"/>
      <c r="B13" s="10" t="s">
        <v>81</v>
      </c>
      <c r="C13" s="32">
        <v>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>
        <f t="shared" si="0"/>
        <v>0</v>
      </c>
      <c r="R13" s="6"/>
      <c r="S13" s="6">
        <f t="shared" si="1"/>
        <v>50</v>
      </c>
      <c r="T13" s="6">
        <v>-50</v>
      </c>
      <c r="U13" s="6">
        <f t="shared" si="2"/>
        <v>0</v>
      </c>
      <c r="V13" s="52"/>
      <c r="W13" s="57"/>
      <c r="X13" s="46"/>
      <c r="Y13" s="61"/>
      <c r="Z13" s="66">
        <f t="shared" si="3"/>
        <v>-50</v>
      </c>
      <c r="AA13" s="61"/>
      <c r="AB13" s="67"/>
      <c r="AC13" s="61"/>
      <c r="AD13" s="66"/>
      <c r="AE13" s="61"/>
      <c r="AF13" s="52">
        <f t="shared" si="4"/>
        <v>-50</v>
      </c>
      <c r="AG13" s="46">
        <f t="shared" si="5"/>
        <v>-50</v>
      </c>
      <c r="AH13" s="51">
        <f t="shared" si="6"/>
        <v>-100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ht="9.3000000000000007" customHeight="1">
      <c r="A14" s="234"/>
      <c r="B14" s="10" t="s">
        <v>76</v>
      </c>
      <c r="C14" s="32">
        <v>22060</v>
      </c>
      <c r="D14" s="6">
        <v>9600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>
        <f t="shared" si="0"/>
        <v>0</v>
      </c>
      <c r="R14" s="6">
        <f>2000+6000+50+3350+4000+1000+3000</f>
        <v>19400</v>
      </c>
      <c r="S14" s="6">
        <f t="shared" si="1"/>
        <v>12260</v>
      </c>
      <c r="T14" s="6">
        <v>-5760</v>
      </c>
      <c r="U14" s="6">
        <f t="shared" si="2"/>
        <v>6500</v>
      </c>
      <c r="V14" s="52"/>
      <c r="W14" s="57"/>
      <c r="X14" s="46"/>
      <c r="Y14" s="61"/>
      <c r="Z14" s="66">
        <f t="shared" si="3"/>
        <v>-12260</v>
      </c>
      <c r="AA14" s="61"/>
      <c r="AB14" s="66"/>
      <c r="AC14" s="61"/>
      <c r="AD14" s="66"/>
      <c r="AE14" s="61"/>
      <c r="AF14" s="52">
        <f t="shared" si="4"/>
        <v>-12260</v>
      </c>
      <c r="AG14" s="46">
        <f t="shared" si="5"/>
        <v>-5760</v>
      </c>
      <c r="AH14" s="51">
        <f t="shared" si="6"/>
        <v>-18020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ht="9.3000000000000007" customHeight="1">
      <c r="A15" s="234"/>
      <c r="B15" s="10" t="s">
        <v>106</v>
      </c>
      <c r="C15" s="32">
        <v>4100</v>
      </c>
      <c r="D15" s="87"/>
      <c r="E15" s="6"/>
      <c r="F15" s="6"/>
      <c r="G15" s="6"/>
      <c r="H15" s="6"/>
      <c r="I15" s="6"/>
      <c r="J15" s="6"/>
      <c r="K15" s="6"/>
      <c r="L15" s="38"/>
      <c r="M15" s="38"/>
      <c r="N15" s="15"/>
      <c r="O15" s="15"/>
      <c r="P15" s="6"/>
      <c r="Q15" s="7">
        <f t="shared" si="0"/>
        <v>0</v>
      </c>
      <c r="R15" s="6"/>
      <c r="S15" s="6">
        <f t="shared" si="1"/>
        <v>4100</v>
      </c>
      <c r="T15" s="6">
        <v>-4100</v>
      </c>
      <c r="U15" s="6">
        <f t="shared" si="2"/>
        <v>0</v>
      </c>
      <c r="V15" s="52"/>
      <c r="W15" s="57"/>
      <c r="X15" s="46"/>
      <c r="Y15" s="61"/>
      <c r="Z15" s="66">
        <f t="shared" si="3"/>
        <v>-4100</v>
      </c>
      <c r="AA15" s="61"/>
      <c r="AB15" s="67"/>
      <c r="AC15" s="61"/>
      <c r="AD15" s="66"/>
      <c r="AE15" s="61"/>
      <c r="AF15" s="52">
        <f t="shared" si="4"/>
        <v>-4100</v>
      </c>
      <c r="AG15" s="46">
        <f t="shared" si="5"/>
        <v>-4100</v>
      </c>
      <c r="AH15" s="51">
        <f t="shared" si="6"/>
        <v>-8200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ht="9.3000000000000007" customHeight="1">
      <c r="A16" s="234"/>
      <c r="B16" s="10" t="s">
        <v>25</v>
      </c>
      <c r="C16" s="32">
        <v>12750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f t="shared" si="0"/>
        <v>0</v>
      </c>
      <c r="R16" s="6">
        <v>250</v>
      </c>
      <c r="S16" s="6">
        <f t="shared" si="1"/>
        <v>12500</v>
      </c>
      <c r="T16" s="34">
        <v>-10050</v>
      </c>
      <c r="U16" s="6">
        <f t="shared" si="2"/>
        <v>2450</v>
      </c>
      <c r="V16" s="52"/>
      <c r="W16" s="57"/>
      <c r="X16" s="46"/>
      <c r="Y16" s="61"/>
      <c r="Z16" s="66">
        <f t="shared" si="3"/>
        <v>-12500</v>
      </c>
      <c r="AA16" s="61"/>
      <c r="AB16" s="67"/>
      <c r="AC16" s="61"/>
      <c r="AD16" s="47"/>
      <c r="AE16" s="61"/>
      <c r="AF16" s="52">
        <f t="shared" si="4"/>
        <v>-12500</v>
      </c>
      <c r="AG16" s="46">
        <f t="shared" si="5"/>
        <v>-10050</v>
      </c>
      <c r="AH16" s="51">
        <f t="shared" si="6"/>
        <v>-22550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49" ht="9.3000000000000007" customHeight="1">
      <c r="A17" s="234"/>
      <c r="B17" s="10" t="s">
        <v>26</v>
      </c>
      <c r="C17" s="32">
        <v>8900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>
        <f t="shared" si="0"/>
        <v>0</v>
      </c>
      <c r="R17" s="6">
        <f>1000+1000</f>
        <v>2000</v>
      </c>
      <c r="S17" s="6">
        <f t="shared" si="1"/>
        <v>6900</v>
      </c>
      <c r="T17" s="6">
        <v>-5000</v>
      </c>
      <c r="U17" s="6">
        <f t="shared" si="2"/>
        <v>1900</v>
      </c>
      <c r="V17" s="52"/>
      <c r="W17" s="57"/>
      <c r="X17" s="46"/>
      <c r="Y17" s="61"/>
      <c r="Z17" s="66">
        <f t="shared" si="3"/>
        <v>-6900</v>
      </c>
      <c r="AA17" s="61"/>
      <c r="AB17" s="66"/>
      <c r="AC17" s="61"/>
      <c r="AD17" s="66"/>
      <c r="AE17" s="61"/>
      <c r="AF17" s="52">
        <f t="shared" si="4"/>
        <v>-6900</v>
      </c>
      <c r="AG17" s="46">
        <f t="shared" si="5"/>
        <v>-5000</v>
      </c>
      <c r="AH17" s="51">
        <f t="shared" si="6"/>
        <v>-11900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49" ht="9.3000000000000007" customHeight="1">
      <c r="A18" s="235"/>
      <c r="B18" s="11" t="s">
        <v>64</v>
      </c>
      <c r="C18" s="3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8"/>
      <c r="T18" s="8">
        <v>0</v>
      </c>
      <c r="U18" s="8"/>
      <c r="V18" s="8"/>
      <c r="W18" s="57"/>
      <c r="X18" s="46"/>
      <c r="Y18" s="61"/>
      <c r="Z18" s="66">
        <f t="shared" si="3"/>
        <v>0</v>
      </c>
      <c r="AA18" s="61"/>
      <c r="AB18" s="67"/>
      <c r="AC18" s="61"/>
      <c r="AD18" s="66"/>
      <c r="AE18" s="61"/>
      <c r="AF18" s="52">
        <f t="shared" si="4"/>
        <v>0</v>
      </c>
      <c r="AG18" s="46">
        <f t="shared" si="5"/>
        <v>0</v>
      </c>
      <c r="AH18" s="51">
        <f t="shared" si="6"/>
        <v>0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49" ht="9.3000000000000007" customHeight="1">
      <c r="A19" s="236" t="s">
        <v>66</v>
      </c>
      <c r="B19" s="10" t="s">
        <v>47</v>
      </c>
      <c r="C19" s="32">
        <v>9550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>
        <f t="shared" si="0"/>
        <v>0</v>
      </c>
      <c r="R19" s="13"/>
      <c r="S19" s="6">
        <f t="shared" si="1"/>
        <v>9550</v>
      </c>
      <c r="T19" s="6">
        <v>-8940</v>
      </c>
      <c r="U19" s="6">
        <f t="shared" si="2"/>
        <v>610</v>
      </c>
      <c r="V19" s="52"/>
      <c r="W19" s="57"/>
      <c r="X19" s="46"/>
      <c r="Y19" s="61"/>
      <c r="Z19" s="66">
        <f t="shared" si="3"/>
        <v>-9550</v>
      </c>
      <c r="AA19" s="61"/>
      <c r="AB19" s="67"/>
      <c r="AC19" s="61"/>
      <c r="AD19" s="66"/>
      <c r="AE19" s="61"/>
      <c r="AF19" s="52">
        <f t="shared" si="4"/>
        <v>-9550</v>
      </c>
      <c r="AG19" s="46">
        <f t="shared" si="5"/>
        <v>-8940</v>
      </c>
      <c r="AH19" s="51">
        <f t="shared" si="6"/>
        <v>-18490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49" ht="9.3000000000000007" customHeight="1">
      <c r="A20" s="237"/>
      <c r="B20" s="12" t="s">
        <v>104</v>
      </c>
      <c r="C20" s="32">
        <v>3265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>
        <f t="shared" si="0"/>
        <v>0</v>
      </c>
      <c r="R20" s="6"/>
      <c r="S20" s="6">
        <f t="shared" si="1"/>
        <v>3265</v>
      </c>
      <c r="T20" s="6">
        <v>-1605</v>
      </c>
      <c r="U20" s="6">
        <f t="shared" si="2"/>
        <v>1660</v>
      </c>
      <c r="V20" s="52"/>
      <c r="W20" s="57"/>
      <c r="X20" s="46"/>
      <c r="Y20" s="61"/>
      <c r="Z20" s="66">
        <f t="shared" si="3"/>
        <v>-3265</v>
      </c>
      <c r="AA20" s="61"/>
      <c r="AB20" s="67"/>
      <c r="AC20" s="61"/>
      <c r="AD20" s="66"/>
      <c r="AE20" s="61"/>
      <c r="AF20" s="52">
        <f t="shared" si="4"/>
        <v>-3265</v>
      </c>
      <c r="AG20" s="46">
        <f t="shared" si="5"/>
        <v>-1605</v>
      </c>
      <c r="AH20" s="51">
        <f t="shared" si="6"/>
        <v>-4870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49" ht="9.3000000000000007" customHeight="1">
      <c r="A21" s="237"/>
      <c r="B21" s="10" t="s">
        <v>62</v>
      </c>
      <c r="C21" s="32">
        <v>2140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>
        <f t="shared" si="0"/>
        <v>0</v>
      </c>
      <c r="R21" s="13"/>
      <c r="S21" s="6">
        <f t="shared" si="1"/>
        <v>2140</v>
      </c>
      <c r="T21" s="6">
        <v>-1280</v>
      </c>
      <c r="U21" s="6">
        <f t="shared" si="2"/>
        <v>860</v>
      </c>
      <c r="V21" s="52"/>
      <c r="W21" s="57"/>
      <c r="X21" s="46"/>
      <c r="Y21" s="61"/>
      <c r="Z21" s="66">
        <f t="shared" si="3"/>
        <v>-2140</v>
      </c>
      <c r="AA21" s="61"/>
      <c r="AB21" s="67"/>
      <c r="AC21" s="61"/>
      <c r="AD21" s="66"/>
      <c r="AE21" s="61"/>
      <c r="AF21" s="52">
        <f t="shared" si="4"/>
        <v>-2140</v>
      </c>
      <c r="AG21" s="46">
        <f t="shared" si="5"/>
        <v>-1280</v>
      </c>
      <c r="AH21" s="51">
        <f t="shared" si="6"/>
        <v>-3420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</row>
    <row r="22" spans="1:49" ht="9.3000000000000007" customHeight="1">
      <c r="A22" s="237"/>
      <c r="B22" s="10" t="s">
        <v>114</v>
      </c>
      <c r="C22" s="32">
        <v>5040</v>
      </c>
      <c r="D22" s="6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7">
        <f t="shared" si="0"/>
        <v>0</v>
      </c>
      <c r="R22" s="122"/>
      <c r="S22" s="6">
        <f t="shared" si="1"/>
        <v>5040</v>
      </c>
      <c r="T22" s="6">
        <v>-5040</v>
      </c>
      <c r="U22" s="6">
        <f>S22+T22</f>
        <v>0</v>
      </c>
      <c r="V22" s="52"/>
      <c r="W22" s="57"/>
      <c r="X22" s="46"/>
      <c r="Y22" s="61"/>
      <c r="Z22" s="66">
        <f t="shared" si="3"/>
        <v>-5040</v>
      </c>
      <c r="AA22" s="61"/>
      <c r="AB22" s="67"/>
      <c r="AC22" s="61"/>
      <c r="AD22" s="66"/>
      <c r="AE22" s="61"/>
      <c r="AF22" s="52">
        <f t="shared" si="4"/>
        <v>-5040</v>
      </c>
      <c r="AG22" s="46">
        <f t="shared" si="5"/>
        <v>-5040</v>
      </c>
      <c r="AH22" s="51">
        <f t="shared" si="6"/>
        <v>-10080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49" ht="9.3000000000000007" customHeight="1">
      <c r="A23" s="237"/>
      <c r="B23" s="12" t="s">
        <v>107</v>
      </c>
      <c r="C23" s="32">
        <v>1660</v>
      </c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">
        <f t="shared" si="0"/>
        <v>0</v>
      </c>
      <c r="R23" s="14"/>
      <c r="S23" s="6">
        <f t="shared" si="1"/>
        <v>1660</v>
      </c>
      <c r="T23" s="6">
        <v>-1660</v>
      </c>
      <c r="U23" s="6">
        <f t="shared" si="2"/>
        <v>0</v>
      </c>
      <c r="V23" s="52"/>
      <c r="W23" s="57"/>
      <c r="X23" s="46"/>
      <c r="Y23" s="61"/>
      <c r="Z23" s="66">
        <f t="shared" si="3"/>
        <v>-1660</v>
      </c>
      <c r="AA23" s="61"/>
      <c r="AB23" s="67"/>
      <c r="AC23" s="61"/>
      <c r="AD23" s="66"/>
      <c r="AE23" s="61"/>
      <c r="AF23" s="52">
        <f t="shared" si="4"/>
        <v>-1660</v>
      </c>
      <c r="AG23" s="46">
        <f t="shared" si="5"/>
        <v>-1660</v>
      </c>
      <c r="AH23" s="51">
        <f t="shared" si="6"/>
        <v>-3320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49" ht="9.3000000000000007" customHeight="1">
      <c r="A24" s="237"/>
      <c r="B24" s="28" t="s">
        <v>115</v>
      </c>
      <c r="C24" s="32">
        <v>0</v>
      </c>
      <c r="D24" s="6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7">
        <f t="shared" si="0"/>
        <v>0</v>
      </c>
      <c r="R24" s="122"/>
      <c r="S24" s="6">
        <f t="shared" si="1"/>
        <v>0</v>
      </c>
      <c r="T24" s="6">
        <v>0</v>
      </c>
      <c r="U24" s="6">
        <f t="shared" si="2"/>
        <v>0</v>
      </c>
      <c r="V24" s="52"/>
      <c r="W24" s="57"/>
      <c r="X24" s="46"/>
      <c r="Y24" s="61"/>
      <c r="Z24" s="66">
        <f t="shared" si="3"/>
        <v>0</v>
      </c>
      <c r="AA24" s="61"/>
      <c r="AB24" s="67"/>
      <c r="AC24" s="61"/>
      <c r="AD24" s="66"/>
      <c r="AE24" s="61"/>
      <c r="AF24" s="52">
        <f t="shared" si="4"/>
        <v>0</v>
      </c>
      <c r="AG24" s="46">
        <f t="shared" si="5"/>
        <v>0</v>
      </c>
      <c r="AH24" s="51">
        <f t="shared" si="6"/>
        <v>0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49" ht="9.3000000000000007" customHeight="1">
      <c r="A25" s="237"/>
      <c r="B25" s="28" t="s">
        <v>36</v>
      </c>
      <c r="C25" s="32">
        <v>1820</v>
      </c>
      <c r="D25" s="6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7">
        <f t="shared" si="0"/>
        <v>0</v>
      </c>
      <c r="R25" s="122"/>
      <c r="S25" s="6">
        <f t="shared" si="1"/>
        <v>1820</v>
      </c>
      <c r="T25" s="6">
        <v>-1820</v>
      </c>
      <c r="U25" s="6">
        <f t="shared" si="2"/>
        <v>0</v>
      </c>
      <c r="V25" s="52"/>
      <c r="W25" s="57"/>
      <c r="X25" s="46"/>
      <c r="Y25" s="61"/>
      <c r="Z25" s="66">
        <f t="shared" si="3"/>
        <v>-1820</v>
      </c>
      <c r="AA25" s="61"/>
      <c r="AB25" s="67"/>
      <c r="AC25" s="61"/>
      <c r="AD25" s="66"/>
      <c r="AE25" s="61"/>
      <c r="AF25" s="52">
        <f t="shared" si="4"/>
        <v>-1820</v>
      </c>
      <c r="AG25" s="46">
        <f t="shared" si="5"/>
        <v>-1820</v>
      </c>
      <c r="AH25" s="51">
        <f t="shared" si="6"/>
        <v>-3640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</row>
    <row r="26" spans="1:49" ht="9.3000000000000007" customHeight="1">
      <c r="A26" s="237"/>
      <c r="B26" s="10" t="s">
        <v>61</v>
      </c>
      <c r="C26" s="32">
        <v>0</v>
      </c>
      <c r="D26" s="6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7">
        <f t="shared" si="0"/>
        <v>0</v>
      </c>
      <c r="R26" s="122"/>
      <c r="S26" s="6">
        <f t="shared" si="1"/>
        <v>0</v>
      </c>
      <c r="T26" s="6">
        <v>0</v>
      </c>
      <c r="U26" s="6">
        <f t="shared" si="2"/>
        <v>0</v>
      </c>
      <c r="V26" s="52"/>
      <c r="W26" s="57"/>
      <c r="X26" s="46"/>
      <c r="Y26" s="61"/>
      <c r="Z26" s="66">
        <f t="shared" si="3"/>
        <v>0</v>
      </c>
      <c r="AA26" s="61"/>
      <c r="AB26" s="67"/>
      <c r="AC26" s="61"/>
      <c r="AD26" s="66"/>
      <c r="AE26" s="61"/>
      <c r="AF26" s="52">
        <f t="shared" si="4"/>
        <v>0</v>
      </c>
      <c r="AG26" s="46">
        <f t="shared" si="5"/>
        <v>0</v>
      </c>
      <c r="AH26" s="51">
        <f t="shared" si="6"/>
        <v>0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</row>
    <row r="27" spans="1:49" ht="9.3000000000000007" customHeight="1">
      <c r="A27" s="237"/>
      <c r="B27" s="29" t="s">
        <v>75</v>
      </c>
      <c r="C27" s="32">
        <v>7760</v>
      </c>
      <c r="D27" s="6"/>
      <c r="E27" s="122"/>
      <c r="F27" s="122"/>
      <c r="G27" s="122"/>
      <c r="H27" s="122"/>
      <c r="I27" s="122"/>
      <c r="J27" s="122"/>
      <c r="K27" s="122">
        <v>2120</v>
      </c>
      <c r="L27" s="122"/>
      <c r="M27" s="122"/>
      <c r="N27" s="122"/>
      <c r="O27" s="122"/>
      <c r="P27" s="122"/>
      <c r="Q27" s="7">
        <f t="shared" si="0"/>
        <v>2120</v>
      </c>
      <c r="R27" s="122"/>
      <c r="S27" s="6">
        <f t="shared" si="1"/>
        <v>7760</v>
      </c>
      <c r="T27" s="6">
        <v>-40</v>
      </c>
      <c r="U27" s="6">
        <f t="shared" si="2"/>
        <v>7720</v>
      </c>
      <c r="V27" s="52"/>
      <c r="W27" s="57"/>
      <c r="X27" s="46"/>
      <c r="Y27" s="61"/>
      <c r="Z27" s="66">
        <f t="shared" si="3"/>
        <v>-7760</v>
      </c>
      <c r="AA27" s="61"/>
      <c r="AB27" s="67"/>
      <c r="AC27" s="61"/>
      <c r="AD27" s="66"/>
      <c r="AE27" s="61"/>
      <c r="AF27" s="52">
        <f t="shared" si="4"/>
        <v>-7760</v>
      </c>
      <c r="AG27" s="46">
        <f t="shared" si="5"/>
        <v>-40</v>
      </c>
      <c r="AH27" s="51">
        <f t="shared" si="6"/>
        <v>-7800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</row>
    <row r="28" spans="1:49" ht="9.3000000000000007" customHeight="1">
      <c r="A28" s="237"/>
      <c r="B28" s="10" t="s">
        <v>59</v>
      </c>
      <c r="C28" s="32">
        <v>1960</v>
      </c>
      <c r="D28" s="6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7">
        <f t="shared" si="0"/>
        <v>0</v>
      </c>
      <c r="R28" s="122">
        <v>40</v>
      </c>
      <c r="S28" s="6">
        <f t="shared" si="1"/>
        <v>1920</v>
      </c>
      <c r="T28" s="6">
        <f>-40-100</f>
        <v>-140</v>
      </c>
      <c r="U28" s="6">
        <f t="shared" si="2"/>
        <v>1780</v>
      </c>
      <c r="V28" s="52"/>
      <c r="W28" s="57"/>
      <c r="X28" s="46"/>
      <c r="Y28" s="61"/>
      <c r="Z28" s="66">
        <f t="shared" si="3"/>
        <v>-1920</v>
      </c>
      <c r="AA28" s="61"/>
      <c r="AB28" s="67"/>
      <c r="AC28" s="61"/>
      <c r="AD28" s="66"/>
      <c r="AE28" s="61"/>
      <c r="AF28" s="52">
        <f t="shared" si="4"/>
        <v>-1920</v>
      </c>
      <c r="AG28" s="46">
        <f t="shared" si="5"/>
        <v>-140</v>
      </c>
      <c r="AH28" s="51">
        <f t="shared" si="6"/>
        <v>-2060</v>
      </c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</row>
    <row r="29" spans="1:49" ht="9.3000000000000007" customHeight="1">
      <c r="A29" s="237"/>
      <c r="B29" s="10" t="s">
        <v>60</v>
      </c>
      <c r="C29" s="32">
        <v>1740</v>
      </c>
      <c r="D29" s="6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7">
        <f t="shared" si="0"/>
        <v>0</v>
      </c>
      <c r="R29" s="122"/>
      <c r="S29" s="6">
        <f t="shared" si="1"/>
        <v>1740</v>
      </c>
      <c r="T29" s="6">
        <f>860+100</f>
        <v>960</v>
      </c>
      <c r="U29" s="6">
        <f t="shared" si="2"/>
        <v>2700</v>
      </c>
      <c r="V29" s="52"/>
      <c r="W29" s="57"/>
      <c r="X29" s="46"/>
      <c r="Y29" s="61"/>
      <c r="Z29" s="66">
        <f t="shared" si="3"/>
        <v>-1740</v>
      </c>
      <c r="AA29" s="61"/>
      <c r="AB29" s="67"/>
      <c r="AC29" s="61"/>
      <c r="AD29" s="66"/>
      <c r="AE29" s="61"/>
      <c r="AF29" s="52">
        <f t="shared" si="4"/>
        <v>-1740</v>
      </c>
      <c r="AG29" s="46">
        <f t="shared" si="5"/>
        <v>960</v>
      </c>
      <c r="AH29" s="51">
        <f t="shared" si="6"/>
        <v>-780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ht="9.3000000000000007" customHeight="1">
      <c r="A30" s="237"/>
      <c r="B30" s="10" t="s">
        <v>54</v>
      </c>
      <c r="C30" s="32">
        <v>20390</v>
      </c>
      <c r="D30" s="6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7">
        <f t="shared" si="0"/>
        <v>0</v>
      </c>
      <c r="R30" s="122"/>
      <c r="S30" s="6">
        <f t="shared" si="1"/>
        <v>20390</v>
      </c>
      <c r="T30" s="6">
        <v>-18970</v>
      </c>
      <c r="U30" s="6">
        <f t="shared" si="2"/>
        <v>1420</v>
      </c>
      <c r="V30" s="52"/>
      <c r="W30" s="57"/>
      <c r="X30" s="46"/>
      <c r="Y30" s="61"/>
      <c r="Z30" s="66">
        <f t="shared" si="3"/>
        <v>-20390</v>
      </c>
      <c r="AA30" s="61"/>
      <c r="AB30" s="67"/>
      <c r="AC30" s="61"/>
      <c r="AD30" s="66"/>
      <c r="AE30" s="61"/>
      <c r="AF30" s="52">
        <f t="shared" si="4"/>
        <v>-20390</v>
      </c>
      <c r="AG30" s="46">
        <f t="shared" si="5"/>
        <v>-18970</v>
      </c>
      <c r="AH30" s="51">
        <f t="shared" si="6"/>
        <v>-39360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</row>
    <row r="31" spans="1:49" ht="9.3000000000000007" customHeight="1">
      <c r="A31" s="237"/>
      <c r="B31" s="10" t="s">
        <v>55</v>
      </c>
      <c r="C31" s="32">
        <v>17380</v>
      </c>
      <c r="D31" s="6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7">
        <f t="shared" si="0"/>
        <v>0</v>
      </c>
      <c r="R31" s="122"/>
      <c r="S31" s="6">
        <f t="shared" si="1"/>
        <v>17380</v>
      </c>
      <c r="T31" s="6">
        <v>-17180</v>
      </c>
      <c r="U31" s="6">
        <f t="shared" si="2"/>
        <v>200</v>
      </c>
      <c r="V31" s="52"/>
      <c r="W31" s="57"/>
      <c r="X31" s="46"/>
      <c r="Y31" s="61"/>
      <c r="Z31" s="66">
        <f t="shared" si="3"/>
        <v>-17380</v>
      </c>
      <c r="AA31" s="61"/>
      <c r="AB31" s="64"/>
      <c r="AC31" s="61"/>
      <c r="AD31" s="66"/>
      <c r="AE31" s="61"/>
      <c r="AF31" s="52">
        <f t="shared" si="4"/>
        <v>-17380</v>
      </c>
      <c r="AG31" s="46">
        <f t="shared" si="5"/>
        <v>-17180</v>
      </c>
      <c r="AH31" s="51">
        <f t="shared" si="6"/>
        <v>-34560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</row>
    <row r="32" spans="1:49" ht="9.3000000000000007" customHeight="1">
      <c r="A32" s="237"/>
      <c r="B32" s="10" t="s">
        <v>56</v>
      </c>
      <c r="C32" s="32">
        <v>26380</v>
      </c>
      <c r="D32" s="6">
        <v>7560</v>
      </c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6"/>
      <c r="P32" s="6"/>
      <c r="Q32" s="7">
        <f>SUM(E32:P32)</f>
        <v>0</v>
      </c>
      <c r="R32" s="122"/>
      <c r="S32" s="6">
        <f t="shared" si="1"/>
        <v>33940</v>
      </c>
      <c r="T32" s="6">
        <v>-18280</v>
      </c>
      <c r="U32" s="6">
        <f t="shared" si="2"/>
        <v>15660</v>
      </c>
      <c r="V32" s="52"/>
      <c r="W32" s="57"/>
      <c r="X32" s="46"/>
      <c r="Y32" s="61"/>
      <c r="Z32" s="66">
        <f t="shared" si="3"/>
        <v>-33940</v>
      </c>
      <c r="AA32" s="61"/>
      <c r="AB32" s="67"/>
      <c r="AC32" s="61"/>
      <c r="AD32" s="66"/>
      <c r="AE32" s="61"/>
      <c r="AF32" s="52">
        <f t="shared" si="4"/>
        <v>-33940</v>
      </c>
      <c r="AG32" s="46">
        <f t="shared" si="5"/>
        <v>-18280</v>
      </c>
      <c r="AH32" s="51">
        <f t="shared" si="6"/>
        <v>-52220</v>
      </c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</row>
    <row r="33" spans="1:49" ht="9.3000000000000007" customHeight="1">
      <c r="A33" s="237"/>
      <c r="B33" s="10" t="s">
        <v>86</v>
      </c>
      <c r="C33" s="32">
        <v>3060</v>
      </c>
      <c r="D33" s="6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7">
        <f t="shared" si="0"/>
        <v>0</v>
      </c>
      <c r="R33" s="122"/>
      <c r="S33" s="6">
        <f t="shared" si="1"/>
        <v>3060</v>
      </c>
      <c r="T33" s="6">
        <v>-600</v>
      </c>
      <c r="U33" s="6">
        <f t="shared" si="2"/>
        <v>2460</v>
      </c>
      <c r="V33" s="52"/>
      <c r="W33" s="57"/>
      <c r="X33" s="46"/>
      <c r="Y33" s="61"/>
      <c r="Z33" s="66">
        <f t="shared" si="3"/>
        <v>-3060</v>
      </c>
      <c r="AA33" s="61"/>
      <c r="AB33" s="67"/>
      <c r="AC33" s="61"/>
      <c r="AD33" s="66"/>
      <c r="AE33" s="61"/>
      <c r="AF33" s="52">
        <f t="shared" si="4"/>
        <v>-3060</v>
      </c>
      <c r="AG33" s="46">
        <f t="shared" si="5"/>
        <v>-600</v>
      </c>
      <c r="AH33" s="51">
        <f t="shared" si="6"/>
        <v>-3660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</row>
    <row r="34" spans="1:49" ht="9.3000000000000007" customHeight="1">
      <c r="A34" s="237"/>
      <c r="B34" s="10" t="s">
        <v>57</v>
      </c>
      <c r="C34" s="32">
        <v>3860</v>
      </c>
      <c r="D34" s="6"/>
      <c r="E34" s="122"/>
      <c r="F34" s="122"/>
      <c r="G34" s="122"/>
      <c r="H34" s="122"/>
      <c r="I34" s="122"/>
      <c r="J34" s="122"/>
      <c r="K34" s="6"/>
      <c r="L34" s="122"/>
      <c r="M34" s="122"/>
      <c r="N34" s="122"/>
      <c r="O34" s="122"/>
      <c r="P34" s="122"/>
      <c r="Q34" s="7">
        <f t="shared" si="0"/>
        <v>0</v>
      </c>
      <c r="R34" s="122"/>
      <c r="S34" s="6">
        <f t="shared" si="1"/>
        <v>3860</v>
      </c>
      <c r="T34" s="6">
        <v>2960</v>
      </c>
      <c r="U34" s="6">
        <f t="shared" si="2"/>
        <v>6820</v>
      </c>
      <c r="V34" s="52"/>
      <c r="W34" s="57"/>
      <c r="X34" s="46"/>
      <c r="Y34" s="61"/>
      <c r="Z34" s="66">
        <f t="shared" si="3"/>
        <v>-3860</v>
      </c>
      <c r="AA34" s="61"/>
      <c r="AB34" s="67"/>
      <c r="AC34" s="61"/>
      <c r="AD34" s="66"/>
      <c r="AE34" s="61"/>
      <c r="AF34" s="52">
        <f t="shared" si="4"/>
        <v>-3860</v>
      </c>
      <c r="AG34" s="46">
        <f t="shared" si="5"/>
        <v>2960</v>
      </c>
      <c r="AH34" s="51">
        <f t="shared" si="6"/>
        <v>-900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</row>
    <row r="35" spans="1:49" ht="9.6" customHeight="1">
      <c r="A35" s="237"/>
      <c r="B35" s="10" t="s">
        <v>58</v>
      </c>
      <c r="C35" s="33">
        <v>5820</v>
      </c>
      <c r="D35" s="6"/>
      <c r="E35" s="122"/>
      <c r="F35" s="122"/>
      <c r="G35" s="122"/>
      <c r="H35" s="122"/>
      <c r="I35" s="122"/>
      <c r="J35" s="122"/>
      <c r="K35" s="6">
        <v>5520</v>
      </c>
      <c r="L35" s="122"/>
      <c r="M35" s="122"/>
      <c r="N35" s="122"/>
      <c r="O35" s="122"/>
      <c r="P35" s="122"/>
      <c r="Q35" s="7">
        <f t="shared" si="0"/>
        <v>5520</v>
      </c>
      <c r="R35" s="122"/>
      <c r="S35" s="6">
        <f t="shared" si="1"/>
        <v>5820</v>
      </c>
      <c r="T35" s="6">
        <v>-1760</v>
      </c>
      <c r="U35" s="6">
        <f t="shared" si="2"/>
        <v>4060</v>
      </c>
      <c r="V35" s="52"/>
      <c r="W35" s="57"/>
      <c r="X35" s="46"/>
      <c r="Y35" s="61"/>
      <c r="Z35" s="66">
        <f t="shared" si="3"/>
        <v>-5820</v>
      </c>
      <c r="AA35" s="61"/>
      <c r="AB35" s="67"/>
      <c r="AC35" s="61"/>
      <c r="AD35" s="66"/>
      <c r="AE35" s="61"/>
      <c r="AF35" s="52">
        <f t="shared" si="4"/>
        <v>-5820</v>
      </c>
      <c r="AG35" s="46">
        <f t="shared" si="5"/>
        <v>-1760</v>
      </c>
      <c r="AH35" s="51">
        <f t="shared" si="6"/>
        <v>-7580</v>
      </c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</row>
    <row r="36" spans="1:49" ht="9.3000000000000007" customHeight="1">
      <c r="A36" s="237"/>
      <c r="B36" s="10" t="s">
        <v>51</v>
      </c>
      <c r="C36" s="32">
        <v>640</v>
      </c>
      <c r="D36" s="6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7">
        <f t="shared" si="0"/>
        <v>0</v>
      </c>
      <c r="R36" s="122"/>
      <c r="S36" s="6">
        <f t="shared" si="1"/>
        <v>640</v>
      </c>
      <c r="T36" s="6">
        <v>-540</v>
      </c>
      <c r="U36" s="6">
        <f t="shared" si="2"/>
        <v>100</v>
      </c>
      <c r="V36" s="52"/>
      <c r="W36" s="57"/>
      <c r="X36" s="46"/>
      <c r="Y36" s="61"/>
      <c r="Z36" s="66">
        <f t="shared" si="3"/>
        <v>-640</v>
      </c>
      <c r="AA36" s="61"/>
      <c r="AB36" s="64"/>
      <c r="AC36" s="61"/>
      <c r="AD36" s="66"/>
      <c r="AE36" s="61"/>
      <c r="AF36" s="52">
        <f t="shared" si="4"/>
        <v>-640</v>
      </c>
      <c r="AG36" s="46">
        <f t="shared" si="5"/>
        <v>-540</v>
      </c>
      <c r="AH36" s="51">
        <f t="shared" si="6"/>
        <v>-1180</v>
      </c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</row>
    <row r="37" spans="1:49" ht="9.3000000000000007" customHeight="1">
      <c r="A37" s="237"/>
      <c r="B37" s="10" t="s">
        <v>78</v>
      </c>
      <c r="C37" s="32">
        <v>10</v>
      </c>
      <c r="D37" s="6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7">
        <f t="shared" si="0"/>
        <v>0</v>
      </c>
      <c r="R37" s="122"/>
      <c r="S37" s="6">
        <f t="shared" si="1"/>
        <v>10</v>
      </c>
      <c r="T37" s="6">
        <v>-10</v>
      </c>
      <c r="U37" s="6">
        <f t="shared" si="2"/>
        <v>0</v>
      </c>
      <c r="V37" s="52"/>
      <c r="W37" s="57"/>
      <c r="X37" s="46"/>
      <c r="Y37" s="61"/>
      <c r="Z37" s="66">
        <f t="shared" si="3"/>
        <v>-10</v>
      </c>
      <c r="AA37" s="61"/>
      <c r="AB37" s="67"/>
      <c r="AC37" s="61"/>
      <c r="AD37" s="66"/>
      <c r="AE37" s="61"/>
      <c r="AF37" s="52">
        <f t="shared" si="4"/>
        <v>-10</v>
      </c>
      <c r="AG37" s="46">
        <f t="shared" si="5"/>
        <v>-10</v>
      </c>
      <c r="AH37" s="51">
        <f t="shared" si="6"/>
        <v>-20</v>
      </c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ht="9.3000000000000007" customHeight="1">
      <c r="A38" s="237"/>
      <c r="B38" s="10" t="s">
        <v>50</v>
      </c>
      <c r="C38" s="32">
        <f>5920+1500</f>
        <v>7420</v>
      </c>
      <c r="D38" s="6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7">
        <f>SUM(E38:P38)</f>
        <v>0</v>
      </c>
      <c r="R38" s="122">
        <v>6000</v>
      </c>
      <c r="S38" s="6">
        <f t="shared" si="1"/>
        <v>1420</v>
      </c>
      <c r="T38" s="6">
        <v>-1340</v>
      </c>
      <c r="U38" s="6">
        <f t="shared" si="2"/>
        <v>80</v>
      </c>
      <c r="V38" s="52"/>
      <c r="W38" s="57"/>
      <c r="X38" s="46"/>
      <c r="Y38" s="61"/>
      <c r="Z38" s="66">
        <f t="shared" si="3"/>
        <v>-1420</v>
      </c>
      <c r="AA38" s="61"/>
      <c r="AB38" s="64"/>
      <c r="AC38" s="61"/>
      <c r="AD38" s="66"/>
      <c r="AE38" s="61"/>
      <c r="AF38" s="52">
        <f t="shared" si="4"/>
        <v>-1420</v>
      </c>
      <c r="AG38" s="46">
        <f t="shared" si="5"/>
        <v>-1340</v>
      </c>
      <c r="AH38" s="51">
        <f t="shared" si="6"/>
        <v>-2760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.3000000000000007" customHeight="1">
      <c r="A39" s="237"/>
      <c r="B39" s="10" t="s">
        <v>49</v>
      </c>
      <c r="C39" s="32">
        <v>15760</v>
      </c>
      <c r="D39" s="6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7">
        <f>SUM(E39:P39)</f>
        <v>0</v>
      </c>
      <c r="R39" s="122"/>
      <c r="S39" s="6">
        <f t="shared" si="1"/>
        <v>15760</v>
      </c>
      <c r="T39" s="6">
        <v>-15760</v>
      </c>
      <c r="U39" s="6">
        <f t="shared" si="2"/>
        <v>0</v>
      </c>
      <c r="V39" s="52"/>
      <c r="W39" s="57"/>
      <c r="X39" s="46"/>
      <c r="Y39" s="61"/>
      <c r="Z39" s="66">
        <f t="shared" si="3"/>
        <v>-15760</v>
      </c>
      <c r="AA39" s="61"/>
      <c r="AB39" s="67"/>
      <c r="AC39" s="61"/>
      <c r="AD39" s="66"/>
      <c r="AE39" s="61"/>
      <c r="AF39" s="52">
        <f t="shared" si="4"/>
        <v>-15760</v>
      </c>
      <c r="AG39" s="46">
        <f t="shared" si="5"/>
        <v>-15760</v>
      </c>
      <c r="AH39" s="51">
        <f t="shared" si="6"/>
        <v>-31520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9.3000000000000007" customHeight="1">
      <c r="A40" s="237"/>
      <c r="B40" s="10" t="s">
        <v>52</v>
      </c>
      <c r="C40" s="33">
        <f>12420-1500</f>
        <v>10920</v>
      </c>
      <c r="D40" s="6"/>
      <c r="E40" s="122"/>
      <c r="F40" s="122"/>
      <c r="G40" s="122"/>
      <c r="H40" s="27"/>
      <c r="I40" s="122"/>
      <c r="J40" s="122"/>
      <c r="K40" s="122"/>
      <c r="L40" s="122"/>
      <c r="M40" s="122"/>
      <c r="N40" s="122"/>
      <c r="O40" s="122"/>
      <c r="P40" s="122"/>
      <c r="Q40" s="7">
        <f>SUM(E40:P40)</f>
        <v>0</v>
      </c>
      <c r="R40" s="122">
        <v>100</v>
      </c>
      <c r="S40" s="6">
        <f t="shared" si="1"/>
        <v>10820</v>
      </c>
      <c r="T40" s="6">
        <f>-10260+40</f>
        <v>-10220</v>
      </c>
      <c r="U40" s="6">
        <f t="shared" si="2"/>
        <v>600</v>
      </c>
      <c r="V40" s="52"/>
      <c r="W40" s="57"/>
      <c r="X40" s="46"/>
      <c r="Y40" s="61"/>
      <c r="Z40" s="66">
        <f t="shared" si="3"/>
        <v>-10820</v>
      </c>
      <c r="AA40" s="61"/>
      <c r="AB40" s="67"/>
      <c r="AC40" s="61"/>
      <c r="AD40" s="66"/>
      <c r="AE40" s="61"/>
      <c r="AF40" s="52">
        <f t="shared" si="4"/>
        <v>-10820</v>
      </c>
      <c r="AG40" s="46">
        <f t="shared" si="5"/>
        <v>-10220</v>
      </c>
      <c r="AH40" s="51">
        <f t="shared" si="6"/>
        <v>-21040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9.3000000000000007" customHeight="1">
      <c r="A41" s="237"/>
      <c r="B41" s="10" t="s">
        <v>88</v>
      </c>
      <c r="C41" s="32">
        <v>340</v>
      </c>
      <c r="D41" s="6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7">
        <f>SUM(E41:P41)</f>
        <v>0</v>
      </c>
      <c r="R41" s="122"/>
      <c r="S41" s="6">
        <f t="shared" si="1"/>
        <v>340</v>
      </c>
      <c r="T41" s="6">
        <v>-340</v>
      </c>
      <c r="U41" s="6">
        <f t="shared" si="2"/>
        <v>0</v>
      </c>
      <c r="V41" s="52"/>
      <c r="W41" s="57"/>
      <c r="X41" s="46"/>
      <c r="Y41" s="61"/>
      <c r="Z41" s="66">
        <f t="shared" si="3"/>
        <v>-340</v>
      </c>
      <c r="AA41" s="61"/>
      <c r="AB41" s="67"/>
      <c r="AC41" s="61"/>
      <c r="AD41" s="66"/>
      <c r="AE41" s="61"/>
      <c r="AF41" s="52">
        <f t="shared" si="4"/>
        <v>-340</v>
      </c>
      <c r="AG41" s="46">
        <f t="shared" si="5"/>
        <v>-340</v>
      </c>
      <c r="AH41" s="51">
        <f t="shared" si="6"/>
        <v>-680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9.3000000000000007" customHeight="1">
      <c r="A42" s="237"/>
      <c r="B42" s="10" t="s">
        <v>53</v>
      </c>
      <c r="C42" s="32">
        <v>4720</v>
      </c>
      <c r="D42" s="6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7">
        <f>SUM(E42:P42)</f>
        <v>0</v>
      </c>
      <c r="R42" s="122"/>
      <c r="S42" s="6">
        <f t="shared" si="1"/>
        <v>4720</v>
      </c>
      <c r="T42" s="6">
        <v>-1920</v>
      </c>
      <c r="U42" s="6">
        <f t="shared" si="2"/>
        <v>2800</v>
      </c>
      <c r="V42" s="52"/>
      <c r="W42" s="57"/>
      <c r="X42" s="46"/>
      <c r="Y42" s="61"/>
      <c r="Z42" s="66">
        <f t="shared" si="3"/>
        <v>-4720</v>
      </c>
      <c r="AA42" s="61"/>
      <c r="AB42" s="67"/>
      <c r="AC42" s="61"/>
      <c r="AD42" s="66"/>
      <c r="AE42" s="61"/>
      <c r="AF42" s="52">
        <f t="shared" si="4"/>
        <v>-4720</v>
      </c>
      <c r="AG42" s="46">
        <f t="shared" si="5"/>
        <v>-1920</v>
      </c>
      <c r="AH42" s="51">
        <f t="shared" si="6"/>
        <v>-6640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9.3000000000000007" customHeight="1">
      <c r="A43" s="238"/>
      <c r="B43" s="16" t="s">
        <v>72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8"/>
      <c r="R43" s="17"/>
      <c r="S43" s="17"/>
      <c r="T43" s="17">
        <v>0</v>
      </c>
      <c r="U43" s="17"/>
      <c r="V43" s="17"/>
      <c r="W43" s="57"/>
      <c r="X43" s="46"/>
      <c r="Y43" s="61"/>
      <c r="Z43" s="66">
        <f t="shared" si="3"/>
        <v>0</v>
      </c>
      <c r="AA43" s="61"/>
      <c r="AB43" s="67"/>
      <c r="AC43" s="61"/>
      <c r="AD43" s="66"/>
      <c r="AE43" s="61"/>
      <c r="AF43" s="52">
        <f t="shared" si="4"/>
        <v>0</v>
      </c>
      <c r="AG43" s="46">
        <f t="shared" si="5"/>
        <v>0</v>
      </c>
      <c r="AH43" s="51">
        <f t="shared" si="6"/>
        <v>0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9.3000000000000007" customHeight="1">
      <c r="A44" s="239" t="s">
        <v>68</v>
      </c>
      <c r="B44" s="10" t="s">
        <v>96</v>
      </c>
      <c r="C44" s="32">
        <v>900</v>
      </c>
      <c r="D44" s="6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7">
        <f t="shared" si="0"/>
        <v>0</v>
      </c>
      <c r="R44" s="122"/>
      <c r="S44" s="6">
        <f t="shared" si="1"/>
        <v>900</v>
      </c>
      <c r="T44" s="6">
        <v>-900</v>
      </c>
      <c r="U44" s="6">
        <f t="shared" si="2"/>
        <v>0</v>
      </c>
      <c r="V44" s="52"/>
      <c r="W44" s="57"/>
      <c r="X44" s="46"/>
      <c r="Y44" s="61"/>
      <c r="Z44" s="66">
        <f t="shared" si="3"/>
        <v>-900</v>
      </c>
      <c r="AA44" s="61"/>
      <c r="AB44" s="67"/>
      <c r="AC44" s="61"/>
      <c r="AD44" s="66"/>
      <c r="AE44" s="61"/>
      <c r="AF44" s="52">
        <f t="shared" si="4"/>
        <v>-900</v>
      </c>
      <c r="AG44" s="46">
        <f t="shared" si="5"/>
        <v>-900</v>
      </c>
      <c r="AH44" s="51">
        <f t="shared" si="6"/>
        <v>-1800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9.3000000000000007" customHeight="1">
      <c r="A45" s="240"/>
      <c r="B45" s="10" t="s">
        <v>37</v>
      </c>
      <c r="C45" s="32">
        <v>3100</v>
      </c>
      <c r="D45" s="6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7">
        <f t="shared" si="0"/>
        <v>0</v>
      </c>
      <c r="R45" s="122"/>
      <c r="S45" s="6">
        <f t="shared" si="1"/>
        <v>3100</v>
      </c>
      <c r="T45" s="6">
        <v>-3100</v>
      </c>
      <c r="U45" s="6">
        <f t="shared" si="2"/>
        <v>0</v>
      </c>
      <c r="V45" s="52"/>
      <c r="W45" s="57"/>
      <c r="X45" s="46"/>
      <c r="Y45" s="61"/>
      <c r="Z45" s="66">
        <f t="shared" si="3"/>
        <v>-3100</v>
      </c>
      <c r="AA45" s="61"/>
      <c r="AB45" s="67"/>
      <c r="AC45" s="61"/>
      <c r="AD45" s="66"/>
      <c r="AE45" s="61"/>
      <c r="AF45" s="52">
        <f t="shared" si="4"/>
        <v>-3100</v>
      </c>
      <c r="AG45" s="46">
        <f t="shared" si="5"/>
        <v>-3100</v>
      </c>
      <c r="AH45" s="51">
        <f t="shared" si="6"/>
        <v>-6200</v>
      </c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9.3000000000000007" customHeight="1">
      <c r="A46" s="240"/>
      <c r="B46" s="10" t="s">
        <v>113</v>
      </c>
      <c r="C46" s="32">
        <v>0</v>
      </c>
      <c r="D46" s="6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7">
        <f t="shared" si="0"/>
        <v>0</v>
      </c>
      <c r="R46" s="122"/>
      <c r="S46" s="6">
        <f t="shared" si="1"/>
        <v>0</v>
      </c>
      <c r="T46" s="6">
        <v>0</v>
      </c>
      <c r="U46" s="6">
        <f t="shared" si="2"/>
        <v>0</v>
      </c>
      <c r="V46" s="52"/>
      <c r="W46" s="57"/>
      <c r="X46" s="46"/>
      <c r="Y46" s="61"/>
      <c r="Z46" s="66">
        <f t="shared" si="3"/>
        <v>0</v>
      </c>
      <c r="AA46" s="61"/>
      <c r="AB46" s="67"/>
      <c r="AC46" s="61"/>
      <c r="AD46" s="66"/>
      <c r="AE46" s="61"/>
      <c r="AF46" s="52">
        <f t="shared" si="4"/>
        <v>0</v>
      </c>
      <c r="AG46" s="46">
        <f t="shared" si="5"/>
        <v>0</v>
      </c>
      <c r="AH46" s="51">
        <f t="shared" si="6"/>
        <v>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9.3000000000000007" customHeight="1">
      <c r="A47" s="240"/>
      <c r="B47" s="10" t="s">
        <v>97</v>
      </c>
      <c r="C47" s="32">
        <v>1520</v>
      </c>
      <c r="D47" s="6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7">
        <f t="shared" si="0"/>
        <v>0</v>
      </c>
      <c r="R47" s="122"/>
      <c r="S47" s="6">
        <f t="shared" si="1"/>
        <v>1520</v>
      </c>
      <c r="T47" s="6">
        <v>-1520</v>
      </c>
      <c r="U47" s="6">
        <f t="shared" si="2"/>
        <v>0</v>
      </c>
      <c r="V47" s="52"/>
      <c r="W47" s="57"/>
      <c r="X47" s="46"/>
      <c r="Y47" s="61"/>
      <c r="Z47" s="66">
        <f t="shared" si="3"/>
        <v>-1520</v>
      </c>
      <c r="AA47" s="61"/>
      <c r="AB47" s="67"/>
      <c r="AC47" s="61"/>
      <c r="AD47" s="66"/>
      <c r="AE47" s="61"/>
      <c r="AF47" s="52">
        <f t="shared" si="4"/>
        <v>-1520</v>
      </c>
      <c r="AG47" s="46">
        <f t="shared" si="5"/>
        <v>-1520</v>
      </c>
      <c r="AH47" s="51">
        <f t="shared" si="6"/>
        <v>-3040</v>
      </c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9.3000000000000007" customHeight="1">
      <c r="A48" s="240"/>
      <c r="B48" s="10" t="s">
        <v>70</v>
      </c>
      <c r="C48" s="32">
        <v>1850</v>
      </c>
      <c r="D48" s="6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7">
        <f t="shared" si="0"/>
        <v>0</v>
      </c>
      <c r="R48" s="122"/>
      <c r="S48" s="6">
        <f t="shared" si="1"/>
        <v>1850</v>
      </c>
      <c r="T48" s="6">
        <v>-1850</v>
      </c>
      <c r="U48" s="6">
        <f t="shared" si="2"/>
        <v>0</v>
      </c>
      <c r="V48" s="52"/>
      <c r="W48" s="57"/>
      <c r="X48" s="46"/>
      <c r="Y48" s="61"/>
      <c r="Z48" s="66">
        <f t="shared" si="3"/>
        <v>-1850</v>
      </c>
      <c r="AA48" s="61"/>
      <c r="AB48" s="67"/>
      <c r="AC48" s="61"/>
      <c r="AD48" s="66"/>
      <c r="AE48" s="61"/>
      <c r="AF48" s="52">
        <f t="shared" si="4"/>
        <v>-1850</v>
      </c>
      <c r="AG48" s="46">
        <f t="shared" si="5"/>
        <v>-1850</v>
      </c>
      <c r="AH48" s="51">
        <f t="shared" si="6"/>
        <v>-3700</v>
      </c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9.3000000000000007" customHeight="1">
      <c r="A49" s="240"/>
      <c r="B49" s="10" t="s">
        <v>34</v>
      </c>
      <c r="C49" s="32">
        <v>2325</v>
      </c>
      <c r="D49" s="6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7">
        <f t="shared" si="0"/>
        <v>0</v>
      </c>
      <c r="R49" s="122"/>
      <c r="S49" s="6">
        <f t="shared" si="1"/>
        <v>2325</v>
      </c>
      <c r="T49" s="6">
        <v>-2325</v>
      </c>
      <c r="U49" s="6">
        <f t="shared" si="2"/>
        <v>0</v>
      </c>
      <c r="V49" s="52"/>
      <c r="W49" s="57"/>
      <c r="X49" s="46"/>
      <c r="Y49" s="61"/>
      <c r="Z49" s="66">
        <f t="shared" si="3"/>
        <v>-2325</v>
      </c>
      <c r="AA49" s="61"/>
      <c r="AB49" s="67"/>
      <c r="AC49" s="61"/>
      <c r="AD49" s="66"/>
      <c r="AE49" s="61"/>
      <c r="AF49" s="52">
        <f t="shared" si="4"/>
        <v>-2325</v>
      </c>
      <c r="AG49" s="46">
        <f t="shared" si="5"/>
        <v>-2325</v>
      </c>
      <c r="AH49" s="51">
        <f t="shared" si="6"/>
        <v>-4650</v>
      </c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9.3000000000000007" customHeight="1">
      <c r="A50" s="240"/>
      <c r="B50" s="10" t="s">
        <v>35</v>
      </c>
      <c r="C50" s="32">
        <v>8575</v>
      </c>
      <c r="D50" s="6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7">
        <f t="shared" si="0"/>
        <v>0</v>
      </c>
      <c r="R50" s="122"/>
      <c r="S50" s="6">
        <f t="shared" si="1"/>
        <v>8575</v>
      </c>
      <c r="T50" s="6">
        <f>-12000+8615</f>
        <v>-3385</v>
      </c>
      <c r="U50" s="6">
        <f t="shared" si="2"/>
        <v>5190</v>
      </c>
      <c r="V50" s="52"/>
      <c r="W50" s="57"/>
      <c r="X50" s="46"/>
      <c r="Y50" s="61"/>
      <c r="Z50" s="66">
        <f t="shared" si="3"/>
        <v>-8575</v>
      </c>
      <c r="AA50" s="61"/>
      <c r="AB50" s="64"/>
      <c r="AC50" s="61"/>
      <c r="AD50" s="66"/>
      <c r="AE50" s="61"/>
      <c r="AF50" s="52">
        <f t="shared" si="4"/>
        <v>-8575</v>
      </c>
      <c r="AG50" s="46">
        <f t="shared" si="5"/>
        <v>-3385</v>
      </c>
      <c r="AH50" s="51">
        <f t="shared" si="6"/>
        <v>-11960</v>
      </c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9.3000000000000007" customHeight="1">
      <c r="A51" s="240"/>
      <c r="B51" s="10" t="s">
        <v>30</v>
      </c>
      <c r="C51" s="32">
        <v>6310</v>
      </c>
      <c r="D51" s="6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7">
        <f t="shared" si="0"/>
        <v>0</v>
      </c>
      <c r="R51" s="122"/>
      <c r="S51" s="6">
        <f t="shared" si="1"/>
        <v>6310</v>
      </c>
      <c r="T51" s="6">
        <v>-4930</v>
      </c>
      <c r="U51" s="6">
        <f t="shared" si="2"/>
        <v>1380</v>
      </c>
      <c r="V51" s="52"/>
      <c r="W51" s="57"/>
      <c r="X51" s="46"/>
      <c r="Y51" s="61"/>
      <c r="Z51" s="66">
        <f t="shared" si="3"/>
        <v>-6310</v>
      </c>
      <c r="AA51" s="61"/>
      <c r="AB51" s="67"/>
      <c r="AC51" s="61"/>
      <c r="AD51" s="66"/>
      <c r="AE51" s="61"/>
      <c r="AF51" s="52">
        <f t="shared" si="4"/>
        <v>-6310</v>
      </c>
      <c r="AG51" s="46">
        <f t="shared" si="5"/>
        <v>-4930</v>
      </c>
      <c r="AH51" s="51">
        <f t="shared" si="6"/>
        <v>-11240</v>
      </c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9.3000000000000007" customHeight="1">
      <c r="A52" s="240"/>
      <c r="B52" s="10" t="s">
        <v>31</v>
      </c>
      <c r="C52" s="32">
        <v>3610</v>
      </c>
      <c r="D52" s="6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7">
        <f t="shared" si="0"/>
        <v>0</v>
      </c>
      <c r="R52" s="122"/>
      <c r="S52" s="6">
        <f t="shared" si="1"/>
        <v>3610</v>
      </c>
      <c r="T52" s="6">
        <v>-2510</v>
      </c>
      <c r="U52" s="6">
        <f t="shared" si="2"/>
        <v>1100</v>
      </c>
      <c r="V52" s="52"/>
      <c r="W52" s="57"/>
      <c r="X52" s="46"/>
      <c r="Y52" s="61"/>
      <c r="Z52" s="66">
        <f t="shared" si="3"/>
        <v>-3610</v>
      </c>
      <c r="AA52" s="61"/>
      <c r="AB52" s="67"/>
      <c r="AC52" s="61"/>
      <c r="AD52" s="66"/>
      <c r="AE52" s="61"/>
      <c r="AF52" s="52">
        <f t="shared" si="4"/>
        <v>-3610</v>
      </c>
      <c r="AG52" s="46">
        <f t="shared" si="5"/>
        <v>-2510</v>
      </c>
      <c r="AH52" s="51">
        <f t="shared" si="6"/>
        <v>-6120</v>
      </c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9.3000000000000007" customHeight="1">
      <c r="A53" s="240"/>
      <c r="B53" s="10" t="s">
        <v>32</v>
      </c>
      <c r="C53" s="32">
        <v>12475</v>
      </c>
      <c r="D53" s="6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7">
        <f t="shared" si="0"/>
        <v>0</v>
      </c>
      <c r="R53" s="122"/>
      <c r="S53" s="6">
        <f t="shared" si="1"/>
        <v>12475</v>
      </c>
      <c r="T53" s="6">
        <v>-11550</v>
      </c>
      <c r="U53" s="6">
        <f t="shared" si="2"/>
        <v>925</v>
      </c>
      <c r="V53" s="52"/>
      <c r="W53" s="57"/>
      <c r="X53" s="46"/>
      <c r="Y53" s="61"/>
      <c r="Z53" s="66">
        <f t="shared" si="3"/>
        <v>-12475</v>
      </c>
      <c r="AA53" s="61"/>
      <c r="AB53" s="67"/>
      <c r="AC53" s="61"/>
      <c r="AD53" s="66"/>
      <c r="AE53" s="61"/>
      <c r="AF53" s="52">
        <f t="shared" si="4"/>
        <v>-12475</v>
      </c>
      <c r="AG53" s="46">
        <f t="shared" si="5"/>
        <v>-11550</v>
      </c>
      <c r="AH53" s="51">
        <f t="shared" si="6"/>
        <v>-24025</v>
      </c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9.3000000000000007" customHeight="1">
      <c r="A54" s="240"/>
      <c r="B54" s="10" t="s">
        <v>33</v>
      </c>
      <c r="C54" s="32">
        <v>5150</v>
      </c>
      <c r="D54" s="6"/>
      <c r="E54" s="122"/>
      <c r="F54" s="122"/>
      <c r="G54" s="122"/>
      <c r="H54" s="122"/>
      <c r="I54" s="122"/>
      <c r="J54" s="122"/>
      <c r="K54" s="122">
        <v>7900</v>
      </c>
      <c r="L54" s="122"/>
      <c r="M54" s="122"/>
      <c r="N54" s="122"/>
      <c r="O54" s="122"/>
      <c r="P54" s="122"/>
      <c r="Q54" s="7">
        <f t="shared" si="0"/>
        <v>7900</v>
      </c>
      <c r="R54" s="122"/>
      <c r="S54" s="6">
        <f t="shared" si="1"/>
        <v>5150</v>
      </c>
      <c r="T54" s="6">
        <v>-2850</v>
      </c>
      <c r="U54" s="6">
        <f t="shared" si="2"/>
        <v>2300</v>
      </c>
      <c r="V54" s="52"/>
      <c r="W54" s="57"/>
      <c r="X54" s="46"/>
      <c r="Y54" s="61"/>
      <c r="Z54" s="66">
        <f t="shared" si="3"/>
        <v>-5150</v>
      </c>
      <c r="AA54" s="61"/>
      <c r="AB54" s="67"/>
      <c r="AC54" s="61"/>
      <c r="AD54" s="66"/>
      <c r="AE54" s="61"/>
      <c r="AF54" s="52">
        <f t="shared" si="4"/>
        <v>-5150</v>
      </c>
      <c r="AG54" s="46">
        <f t="shared" si="5"/>
        <v>-2850</v>
      </c>
      <c r="AH54" s="51">
        <f t="shared" si="6"/>
        <v>-8000</v>
      </c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9.3000000000000007" customHeight="1">
      <c r="A55" s="240"/>
      <c r="B55" s="10" t="s">
        <v>79</v>
      </c>
      <c r="C55" s="32">
        <v>100</v>
      </c>
      <c r="D55" s="6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7">
        <f t="shared" si="0"/>
        <v>0</v>
      </c>
      <c r="R55" s="122"/>
      <c r="S55" s="6">
        <f t="shared" si="1"/>
        <v>100</v>
      </c>
      <c r="T55" s="6">
        <v>-100</v>
      </c>
      <c r="U55" s="6">
        <f t="shared" si="2"/>
        <v>0</v>
      </c>
      <c r="V55" s="52"/>
      <c r="W55" s="57"/>
      <c r="X55" s="46"/>
      <c r="Y55" s="61"/>
      <c r="Z55" s="66">
        <f t="shared" si="3"/>
        <v>-100</v>
      </c>
      <c r="AA55" s="61"/>
      <c r="AB55" s="67"/>
      <c r="AC55" s="61"/>
      <c r="AD55" s="66"/>
      <c r="AE55" s="61"/>
      <c r="AF55" s="52">
        <f t="shared" si="4"/>
        <v>-100</v>
      </c>
      <c r="AG55" s="46">
        <f t="shared" si="5"/>
        <v>-100</v>
      </c>
      <c r="AH55" s="51">
        <f t="shared" si="6"/>
        <v>-200</v>
      </c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9.3000000000000007" customHeight="1">
      <c r="A56" s="240"/>
      <c r="B56" s="10" t="s">
        <v>80</v>
      </c>
      <c r="C56" s="32">
        <v>0</v>
      </c>
      <c r="D56" s="6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7">
        <f>SUM(E56:P56)</f>
        <v>0</v>
      </c>
      <c r="R56" s="122"/>
      <c r="S56" s="6">
        <f t="shared" si="1"/>
        <v>0</v>
      </c>
      <c r="T56" s="6">
        <v>0</v>
      </c>
      <c r="U56" s="6">
        <f t="shared" si="2"/>
        <v>0</v>
      </c>
      <c r="V56" s="52"/>
      <c r="W56" s="57"/>
      <c r="X56" s="46"/>
      <c r="Y56" s="61"/>
      <c r="Z56" s="66">
        <f t="shared" si="3"/>
        <v>0</v>
      </c>
      <c r="AA56" s="61"/>
      <c r="AB56" s="67"/>
      <c r="AC56" s="61"/>
      <c r="AD56" s="66"/>
      <c r="AE56" s="61"/>
      <c r="AF56" s="52">
        <f t="shared" si="4"/>
        <v>0</v>
      </c>
      <c r="AG56" s="46">
        <f t="shared" si="5"/>
        <v>0</v>
      </c>
      <c r="AH56" s="51">
        <f t="shared" si="6"/>
        <v>0</v>
      </c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9.3000000000000007" customHeight="1">
      <c r="A57" s="240"/>
      <c r="B57" s="10" t="s">
        <v>48</v>
      </c>
      <c r="C57" s="32">
        <v>10890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>
        <f t="shared" si="0"/>
        <v>0</v>
      </c>
      <c r="R57" s="6"/>
      <c r="S57" s="6">
        <f t="shared" si="1"/>
        <v>10890</v>
      </c>
      <c r="T57" s="6">
        <f>-11140+250</f>
        <v>-10890</v>
      </c>
      <c r="U57" s="6">
        <f t="shared" si="2"/>
        <v>0</v>
      </c>
      <c r="V57" s="52"/>
      <c r="W57" s="57"/>
      <c r="X57" s="46"/>
      <c r="Y57" s="61"/>
      <c r="Z57" s="66">
        <f t="shared" si="3"/>
        <v>-10890</v>
      </c>
      <c r="AA57" s="61"/>
      <c r="AB57" s="67"/>
      <c r="AC57" s="61"/>
      <c r="AD57" s="66"/>
      <c r="AE57" s="61"/>
      <c r="AF57" s="52">
        <f t="shared" si="4"/>
        <v>-10890</v>
      </c>
      <c r="AG57" s="46">
        <f t="shared" si="5"/>
        <v>-10890</v>
      </c>
      <c r="AH57" s="51">
        <f t="shared" si="6"/>
        <v>-21780</v>
      </c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9.3000000000000007" customHeight="1">
      <c r="A58" s="240"/>
      <c r="B58" s="10" t="s">
        <v>77</v>
      </c>
      <c r="C58" s="3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>
        <f t="shared" si="0"/>
        <v>0</v>
      </c>
      <c r="R58" s="6"/>
      <c r="S58" s="6"/>
      <c r="T58" s="6">
        <v>0</v>
      </c>
      <c r="U58" s="6">
        <f t="shared" si="2"/>
        <v>0</v>
      </c>
      <c r="V58" s="52"/>
      <c r="W58" s="57"/>
      <c r="X58" s="46"/>
      <c r="Y58" s="61"/>
      <c r="Z58" s="66">
        <f t="shared" si="3"/>
        <v>0</v>
      </c>
      <c r="AA58" s="61"/>
      <c r="AB58" s="67"/>
      <c r="AC58" s="61"/>
      <c r="AD58" s="66"/>
      <c r="AE58" s="61"/>
      <c r="AF58" s="52">
        <f t="shared" si="4"/>
        <v>0</v>
      </c>
      <c r="AG58" s="46">
        <f t="shared" si="5"/>
        <v>0</v>
      </c>
      <c r="AH58" s="51">
        <f t="shared" si="6"/>
        <v>0</v>
      </c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9.3000000000000007" customHeight="1">
      <c r="A59" s="240"/>
      <c r="B59" s="10" t="s">
        <v>27</v>
      </c>
      <c r="C59" s="32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7">
        <f t="shared" si="0"/>
        <v>0</v>
      </c>
      <c r="R59" s="6"/>
      <c r="S59" s="6">
        <f t="shared" si="1"/>
        <v>0</v>
      </c>
      <c r="T59" s="6">
        <v>0</v>
      </c>
      <c r="U59" s="6">
        <f t="shared" si="2"/>
        <v>0</v>
      </c>
      <c r="V59" s="52"/>
      <c r="W59" s="57"/>
      <c r="X59" s="46"/>
      <c r="Y59" s="61"/>
      <c r="Z59" s="66">
        <f t="shared" si="3"/>
        <v>0</v>
      </c>
      <c r="AA59" s="61"/>
      <c r="AB59" s="67"/>
      <c r="AC59" s="61"/>
      <c r="AD59" s="66"/>
      <c r="AE59" s="61"/>
      <c r="AF59" s="52">
        <f t="shared" si="4"/>
        <v>0</v>
      </c>
      <c r="AG59" s="46">
        <f t="shared" si="5"/>
        <v>0</v>
      </c>
      <c r="AH59" s="51">
        <f t="shared" si="6"/>
        <v>0</v>
      </c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9.3000000000000007" customHeight="1">
      <c r="A60" s="240"/>
      <c r="B60" s="10" t="s">
        <v>28</v>
      </c>
      <c r="C60" s="32">
        <v>13425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7">
        <f t="shared" si="0"/>
        <v>0</v>
      </c>
      <c r="R60" s="6"/>
      <c r="S60" s="6">
        <f t="shared" si="1"/>
        <v>13425</v>
      </c>
      <c r="T60" s="6">
        <v>-9525</v>
      </c>
      <c r="U60" s="6">
        <f t="shared" si="2"/>
        <v>3900</v>
      </c>
      <c r="V60" s="52"/>
      <c r="W60" s="57"/>
      <c r="X60" s="46"/>
      <c r="Y60" s="61"/>
      <c r="Z60" s="66">
        <f t="shared" si="3"/>
        <v>-13425</v>
      </c>
      <c r="AA60" s="61"/>
      <c r="AB60" s="67"/>
      <c r="AC60" s="61"/>
      <c r="AD60" s="66"/>
      <c r="AE60" s="61"/>
      <c r="AF60" s="52">
        <f t="shared" si="4"/>
        <v>-13425</v>
      </c>
      <c r="AG60" s="46">
        <f t="shared" si="5"/>
        <v>-9525</v>
      </c>
      <c r="AH60" s="51">
        <f t="shared" si="6"/>
        <v>-22950</v>
      </c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ht="9.3000000000000007" customHeight="1">
      <c r="A61" s="241"/>
      <c r="B61" s="10" t="s">
        <v>29</v>
      </c>
      <c r="C61" s="32">
        <v>1675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7">
        <f t="shared" si="0"/>
        <v>0</v>
      </c>
      <c r="R61" s="122"/>
      <c r="S61" s="6">
        <f t="shared" si="1"/>
        <v>1675</v>
      </c>
      <c r="T61" s="6">
        <v>0</v>
      </c>
      <c r="U61" s="6">
        <f t="shared" si="2"/>
        <v>1675</v>
      </c>
      <c r="V61" s="52"/>
      <c r="W61" s="57"/>
      <c r="X61" s="46"/>
      <c r="Y61" s="61"/>
      <c r="Z61" s="66">
        <f t="shared" si="3"/>
        <v>-1675</v>
      </c>
      <c r="AA61" s="61"/>
      <c r="AB61" s="67"/>
      <c r="AC61" s="61"/>
      <c r="AD61" s="66"/>
      <c r="AE61" s="61"/>
      <c r="AF61" s="52">
        <f t="shared" si="4"/>
        <v>-1675</v>
      </c>
      <c r="AG61" s="46">
        <f t="shared" si="5"/>
        <v>0</v>
      </c>
      <c r="AH61" s="51">
        <f t="shared" si="6"/>
        <v>-1675</v>
      </c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ht="9.3000000000000007" customHeight="1">
      <c r="A62" s="242" t="s">
        <v>38</v>
      </c>
      <c r="B62" s="10" t="s">
        <v>39</v>
      </c>
      <c r="C62" s="32">
        <v>0</v>
      </c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7">
        <f t="shared" si="0"/>
        <v>0</v>
      </c>
      <c r="R62" s="121"/>
      <c r="S62" s="6">
        <f t="shared" si="1"/>
        <v>0</v>
      </c>
      <c r="T62" s="6">
        <v>0</v>
      </c>
      <c r="U62" s="6">
        <f t="shared" si="2"/>
        <v>0</v>
      </c>
      <c r="V62" s="52"/>
      <c r="W62" s="57"/>
      <c r="X62" s="46"/>
      <c r="Y62" s="61"/>
      <c r="Z62" s="66">
        <f t="shared" si="3"/>
        <v>0</v>
      </c>
      <c r="AA62" s="61"/>
      <c r="AB62" s="67"/>
      <c r="AC62" s="61"/>
      <c r="AD62" s="66"/>
      <c r="AE62" s="61"/>
      <c r="AF62" s="52">
        <f t="shared" si="4"/>
        <v>0</v>
      </c>
      <c r="AG62" s="46">
        <f t="shared" si="5"/>
        <v>0</v>
      </c>
      <c r="AH62" s="51">
        <f t="shared" si="6"/>
        <v>0</v>
      </c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ht="9.3000000000000007" customHeight="1">
      <c r="A63" s="243"/>
      <c r="B63" s="10" t="s">
        <v>40</v>
      </c>
      <c r="C63" s="32">
        <v>2400</v>
      </c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7">
        <f t="shared" si="0"/>
        <v>0</v>
      </c>
      <c r="R63" s="121"/>
      <c r="S63" s="6">
        <f t="shared" si="1"/>
        <v>2400</v>
      </c>
      <c r="T63" s="6">
        <v>-2375</v>
      </c>
      <c r="U63" s="6">
        <f t="shared" si="2"/>
        <v>25</v>
      </c>
      <c r="V63" s="52"/>
      <c r="W63" s="57"/>
      <c r="X63" s="46"/>
      <c r="Y63" s="61"/>
      <c r="Z63" s="66">
        <f t="shared" si="3"/>
        <v>-2400</v>
      </c>
      <c r="AA63" s="61"/>
      <c r="AB63" s="67"/>
      <c r="AC63" s="61"/>
      <c r="AD63" s="66"/>
      <c r="AE63" s="61"/>
      <c r="AF63" s="52">
        <f t="shared" si="4"/>
        <v>-2400</v>
      </c>
      <c r="AG63" s="46">
        <f t="shared" si="5"/>
        <v>-2375</v>
      </c>
      <c r="AH63" s="51">
        <f t="shared" si="6"/>
        <v>-4775</v>
      </c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ht="9.3000000000000007" customHeight="1">
      <c r="A64" s="243"/>
      <c r="B64" s="10" t="s">
        <v>41</v>
      </c>
      <c r="C64" s="32">
        <v>0</v>
      </c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7">
        <f t="shared" si="0"/>
        <v>0</v>
      </c>
      <c r="R64" s="121"/>
      <c r="S64" s="6">
        <f t="shared" si="1"/>
        <v>0</v>
      </c>
      <c r="T64" s="6">
        <v>0</v>
      </c>
      <c r="U64" s="6">
        <f t="shared" si="2"/>
        <v>0</v>
      </c>
      <c r="V64" s="52"/>
      <c r="W64" s="57"/>
      <c r="X64" s="46"/>
      <c r="Y64" s="61"/>
      <c r="Z64" s="66">
        <f t="shared" si="3"/>
        <v>0</v>
      </c>
      <c r="AA64" s="61"/>
      <c r="AB64" s="67"/>
      <c r="AC64" s="61"/>
      <c r="AD64" s="66"/>
      <c r="AE64" s="61"/>
      <c r="AF64" s="52">
        <f t="shared" si="4"/>
        <v>0</v>
      </c>
      <c r="AG64" s="46">
        <f t="shared" si="5"/>
        <v>0</v>
      </c>
      <c r="AH64" s="51">
        <f t="shared" si="6"/>
        <v>0</v>
      </c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:49" ht="9.3000000000000007" customHeight="1">
      <c r="A65" s="244"/>
      <c r="B65" s="10" t="s">
        <v>42</v>
      </c>
      <c r="C65" s="32">
        <v>700</v>
      </c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7">
        <f t="shared" si="0"/>
        <v>0</v>
      </c>
      <c r="R65" s="121"/>
      <c r="S65" s="6">
        <f t="shared" si="1"/>
        <v>700</v>
      </c>
      <c r="T65" s="6">
        <v>-700</v>
      </c>
      <c r="U65" s="6">
        <f t="shared" si="2"/>
        <v>0</v>
      </c>
      <c r="V65" s="52"/>
      <c r="W65" s="57"/>
      <c r="X65" s="46"/>
      <c r="Y65" s="61"/>
      <c r="Z65" s="66">
        <f t="shared" si="3"/>
        <v>-700</v>
      </c>
      <c r="AA65" s="61"/>
      <c r="AB65" s="67"/>
      <c r="AC65" s="61"/>
      <c r="AD65" s="66"/>
      <c r="AE65" s="61"/>
      <c r="AF65" s="52">
        <f t="shared" si="4"/>
        <v>-700</v>
      </c>
      <c r="AG65" s="46">
        <f t="shared" si="5"/>
        <v>-700</v>
      </c>
      <c r="AH65" s="51">
        <f t="shared" si="6"/>
        <v>-1400</v>
      </c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:49" ht="9.3000000000000007" customHeight="1">
      <c r="A66" s="120"/>
      <c r="B66" s="19" t="s">
        <v>65</v>
      </c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>
        <v>0</v>
      </c>
      <c r="U66" s="17"/>
      <c r="V66" s="17"/>
      <c r="W66" s="57"/>
      <c r="X66" s="46"/>
      <c r="Y66" s="61"/>
      <c r="Z66" s="66">
        <f t="shared" si="3"/>
        <v>0</v>
      </c>
      <c r="AA66" s="61"/>
      <c r="AB66" s="67"/>
      <c r="AC66" s="61"/>
      <c r="AD66" s="66"/>
      <c r="AE66" s="61"/>
      <c r="AF66" s="52">
        <f t="shared" si="4"/>
        <v>0</v>
      </c>
      <c r="AG66" s="46">
        <f t="shared" si="5"/>
        <v>0</v>
      </c>
      <c r="AH66" s="51">
        <f t="shared" si="6"/>
        <v>0</v>
      </c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:49" ht="9.3000000000000007" customHeight="1">
      <c r="A67" s="239" t="s">
        <v>13</v>
      </c>
      <c r="B67" s="10" t="s">
        <v>43</v>
      </c>
      <c r="C67" s="32">
        <v>2450</v>
      </c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7">
        <f t="shared" si="0"/>
        <v>0</v>
      </c>
      <c r="R67" s="122">
        <v>500</v>
      </c>
      <c r="S67" s="6">
        <f t="shared" si="1"/>
        <v>1950</v>
      </c>
      <c r="T67" s="6">
        <v>-1525</v>
      </c>
      <c r="U67" s="6">
        <f t="shared" si="2"/>
        <v>425</v>
      </c>
      <c r="V67" s="52"/>
      <c r="W67" s="57"/>
      <c r="X67" s="46"/>
      <c r="Y67" s="61"/>
      <c r="Z67" s="66">
        <f t="shared" si="3"/>
        <v>-1950</v>
      </c>
      <c r="AA67" s="61"/>
      <c r="AB67" s="67"/>
      <c r="AC67" s="61"/>
      <c r="AD67" s="66"/>
      <c r="AE67" s="61"/>
      <c r="AF67" s="52">
        <f t="shared" si="4"/>
        <v>-1950</v>
      </c>
      <c r="AG67" s="46">
        <f t="shared" si="5"/>
        <v>-1525</v>
      </c>
      <c r="AH67" s="51">
        <f t="shared" si="6"/>
        <v>-3475</v>
      </c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:49" ht="9.3000000000000007" customHeight="1">
      <c r="A68" s="240"/>
      <c r="B68" s="10" t="s">
        <v>63</v>
      </c>
      <c r="C68" s="32">
        <v>0</v>
      </c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7">
        <f t="shared" si="0"/>
        <v>0</v>
      </c>
      <c r="R68" s="122"/>
      <c r="S68" s="6">
        <f t="shared" si="1"/>
        <v>0</v>
      </c>
      <c r="T68" s="6">
        <v>0</v>
      </c>
      <c r="U68" s="6">
        <f t="shared" si="2"/>
        <v>0</v>
      </c>
      <c r="V68" s="52"/>
      <c r="W68" s="57"/>
      <c r="X68" s="46"/>
      <c r="Y68" s="61"/>
      <c r="Z68" s="66">
        <f t="shared" si="3"/>
        <v>0</v>
      </c>
      <c r="AA68" s="61"/>
      <c r="AB68" s="67"/>
      <c r="AC68" s="61"/>
      <c r="AD68" s="66"/>
      <c r="AE68" s="61"/>
      <c r="AF68" s="52">
        <f t="shared" si="4"/>
        <v>0</v>
      </c>
      <c r="AG68" s="46">
        <f t="shared" si="5"/>
        <v>0</v>
      </c>
      <c r="AH68" s="51">
        <f t="shared" si="6"/>
        <v>0</v>
      </c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:49" ht="9.3000000000000007" customHeight="1">
      <c r="A69" s="240"/>
      <c r="B69" s="10" t="s">
        <v>44</v>
      </c>
      <c r="C69" s="35">
        <v>25325</v>
      </c>
      <c r="D69" s="122">
        <f>8500+6000</f>
        <v>14500</v>
      </c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7">
        <f t="shared" si="0"/>
        <v>0</v>
      </c>
      <c r="R69" s="122">
        <f>125+1000+3000</f>
        <v>4125</v>
      </c>
      <c r="S69" s="6">
        <f t="shared" si="1"/>
        <v>35700</v>
      </c>
      <c r="T69" s="6">
        <v>-16950</v>
      </c>
      <c r="U69" s="6">
        <f t="shared" si="2"/>
        <v>18750</v>
      </c>
      <c r="V69" s="52"/>
      <c r="W69" s="57"/>
      <c r="X69" s="46"/>
      <c r="Y69" s="61"/>
      <c r="Z69" s="66">
        <f t="shared" si="3"/>
        <v>-35700</v>
      </c>
      <c r="AA69" s="61"/>
      <c r="AB69" s="64"/>
      <c r="AC69" s="61"/>
      <c r="AD69" s="66"/>
      <c r="AE69" s="61"/>
      <c r="AF69" s="52">
        <f t="shared" si="4"/>
        <v>-35700</v>
      </c>
      <c r="AG69" s="46">
        <f t="shared" si="5"/>
        <v>-16950</v>
      </c>
      <c r="AH69" s="51">
        <f t="shared" si="6"/>
        <v>-52650</v>
      </c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:49" ht="9.3000000000000007" customHeight="1">
      <c r="A70" s="240"/>
      <c r="B70" s="10" t="s">
        <v>45</v>
      </c>
      <c r="C70" s="35">
        <v>13450</v>
      </c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7">
        <f t="shared" si="0"/>
        <v>0</v>
      </c>
      <c r="R70" s="122">
        <f>250+3000</f>
        <v>3250</v>
      </c>
      <c r="S70" s="6">
        <f t="shared" si="1"/>
        <v>10200</v>
      </c>
      <c r="T70" s="6">
        <v>-9425</v>
      </c>
      <c r="U70" s="6">
        <f t="shared" si="2"/>
        <v>775</v>
      </c>
      <c r="V70" s="52"/>
      <c r="W70" s="57"/>
      <c r="X70" s="46"/>
      <c r="Y70" s="61"/>
      <c r="Z70" s="66">
        <f t="shared" si="3"/>
        <v>-10200</v>
      </c>
      <c r="AA70" s="61"/>
      <c r="AB70" s="67"/>
      <c r="AC70" s="61"/>
      <c r="AD70" s="66"/>
      <c r="AE70" s="61"/>
      <c r="AF70" s="52">
        <f t="shared" si="4"/>
        <v>-10200</v>
      </c>
      <c r="AG70" s="46">
        <f t="shared" si="5"/>
        <v>-9425</v>
      </c>
      <c r="AH70" s="51">
        <f t="shared" si="6"/>
        <v>-19625</v>
      </c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:49" ht="9.3000000000000007" customHeight="1">
      <c r="A71" s="241"/>
      <c r="B71" s="10" t="s">
        <v>46</v>
      </c>
      <c r="C71" s="35">
        <v>33825</v>
      </c>
      <c r="D71" s="122">
        <f>9250+11925+2200</f>
        <v>23375</v>
      </c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7">
        <f t="shared" si="0"/>
        <v>0</v>
      </c>
      <c r="R71" s="122">
        <f>125+2350+2850</f>
        <v>5325</v>
      </c>
      <c r="S71" s="6">
        <f t="shared" si="1"/>
        <v>51875</v>
      </c>
      <c r="T71" s="6">
        <v>-27500</v>
      </c>
      <c r="U71" s="6">
        <f t="shared" si="2"/>
        <v>24375</v>
      </c>
      <c r="V71" s="52"/>
      <c r="W71" s="57"/>
      <c r="X71" s="46"/>
      <c r="Y71" s="61"/>
      <c r="Z71" s="66">
        <f t="shared" si="3"/>
        <v>-51875</v>
      </c>
      <c r="AA71" s="61"/>
      <c r="AB71" s="64"/>
      <c r="AC71" s="61"/>
      <c r="AD71" s="66"/>
      <c r="AE71" s="61"/>
      <c r="AF71" s="52">
        <f t="shared" si="4"/>
        <v>-51875</v>
      </c>
      <c r="AG71" s="46">
        <f t="shared" si="5"/>
        <v>-27500</v>
      </c>
      <c r="AH71" s="51">
        <f t="shared" si="6"/>
        <v>-79375</v>
      </c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:49" ht="9.3000000000000007" customHeight="1">
      <c r="A72" s="216" t="s">
        <v>15</v>
      </c>
      <c r="B72" s="217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0</v>
      </c>
      <c r="U72" s="20"/>
      <c r="V72" s="20"/>
      <c r="W72" s="57"/>
      <c r="X72" s="43"/>
      <c r="Y72" s="54"/>
      <c r="Z72" s="66">
        <f t="shared" ref="Z72" si="7">W72-S72</f>
        <v>0</v>
      </c>
      <c r="AA72" s="62"/>
      <c r="AB72" s="48"/>
      <c r="AC72" s="55"/>
      <c r="AD72" s="46"/>
      <c r="AE72" s="52"/>
      <c r="AF72" s="52">
        <f t="shared" ref="AF72" si="8">SUM(Y72:AE72)</f>
        <v>0</v>
      </c>
      <c r="AG72" s="46">
        <f t="shared" ref="AG72" si="9">U72+AF72</f>
        <v>0</v>
      </c>
      <c r="AH72" s="51">
        <f t="shared" ref="AH72" si="10">AG72-S72</f>
        <v>0</v>
      </c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:49" ht="9.3000000000000007" customHeight="1">
      <c r="A73" s="205" t="s">
        <v>10</v>
      </c>
      <c r="B73" s="206"/>
      <c r="C73" s="122">
        <f>SUM(C7:C72)</f>
        <v>408375</v>
      </c>
      <c r="D73" s="122">
        <f t="shared" ref="D73:V73" si="11">SUM(D7:D72)</f>
        <v>69085</v>
      </c>
      <c r="E73" s="122">
        <f t="shared" si="11"/>
        <v>0</v>
      </c>
      <c r="F73" s="122">
        <f t="shared" si="11"/>
        <v>0</v>
      </c>
      <c r="G73" s="122">
        <f t="shared" si="11"/>
        <v>0</v>
      </c>
      <c r="H73" s="27">
        <f t="shared" si="11"/>
        <v>0</v>
      </c>
      <c r="I73" s="122">
        <f t="shared" si="11"/>
        <v>0</v>
      </c>
      <c r="J73" s="122">
        <f t="shared" si="11"/>
        <v>0</v>
      </c>
      <c r="K73" s="122">
        <f t="shared" si="11"/>
        <v>25540</v>
      </c>
      <c r="L73" s="122">
        <f t="shared" si="11"/>
        <v>0</v>
      </c>
      <c r="M73" s="122">
        <f t="shared" si="11"/>
        <v>0</v>
      </c>
      <c r="N73" s="122">
        <f t="shared" si="11"/>
        <v>0</v>
      </c>
      <c r="O73" s="122">
        <f t="shared" si="11"/>
        <v>0</v>
      </c>
      <c r="P73" s="122">
        <f t="shared" si="11"/>
        <v>0</v>
      </c>
      <c r="Q73" s="122">
        <f t="shared" si="11"/>
        <v>25540</v>
      </c>
      <c r="R73" s="122">
        <f t="shared" si="11"/>
        <v>44990</v>
      </c>
      <c r="S73" s="122">
        <f t="shared" si="11"/>
        <v>432470</v>
      </c>
      <c r="T73" s="122">
        <f t="shared" si="11"/>
        <v>-286670</v>
      </c>
      <c r="U73" s="122">
        <f t="shared" si="11"/>
        <v>145800</v>
      </c>
      <c r="V73" s="122">
        <f t="shared" si="11"/>
        <v>0</v>
      </c>
      <c r="W73" s="24"/>
      <c r="X73" s="24"/>
      <c r="Y73" s="53">
        <f>SUM(Y7:Y72)</f>
        <v>0</v>
      </c>
      <c r="Z73" s="53">
        <f t="shared" ref="Z73:AJ73" si="12">SUM(Z7:Z72)</f>
        <v>-432470</v>
      </c>
      <c r="AA73" s="53">
        <f t="shared" si="12"/>
        <v>0</v>
      </c>
      <c r="AB73" s="53">
        <f t="shared" si="12"/>
        <v>0</v>
      </c>
      <c r="AC73" s="53">
        <f t="shared" si="12"/>
        <v>0</v>
      </c>
      <c r="AD73" s="59">
        <f t="shared" si="12"/>
        <v>0</v>
      </c>
      <c r="AE73" s="59">
        <f t="shared" si="12"/>
        <v>0</v>
      </c>
      <c r="AF73" s="60">
        <f t="shared" si="12"/>
        <v>-432470</v>
      </c>
      <c r="AG73" s="43">
        <f t="shared" si="12"/>
        <v>-286670</v>
      </c>
      <c r="AH73" s="43">
        <f t="shared" si="12"/>
        <v>-719140</v>
      </c>
      <c r="AI73" s="43">
        <f t="shared" si="12"/>
        <v>0</v>
      </c>
      <c r="AJ73" s="43">
        <f t="shared" si="12"/>
        <v>0</v>
      </c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 ht="10.050000000000001" customHeight="1">
      <c r="A74" s="2"/>
      <c r="B74" s="201" t="s">
        <v>16</v>
      </c>
      <c r="C74" s="207"/>
      <c r="D74" s="202"/>
      <c r="E74" s="208">
        <f>Q73</f>
        <v>25540</v>
      </c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10"/>
      <c r="R74" s="211">
        <f>19040+34230+16185+52765+57455+19000+30150+15160+25540</f>
        <v>269525</v>
      </c>
      <c r="S74" s="211"/>
      <c r="T74" s="212">
        <f>R74+R75</f>
        <v>673720</v>
      </c>
      <c r="U74" s="213"/>
      <c r="V74" s="2"/>
      <c r="W74" s="23"/>
      <c r="X74" s="26"/>
      <c r="Y74" s="26"/>
      <c r="Z74" s="23"/>
      <c r="AA74" s="23"/>
      <c r="AB74" s="49"/>
      <c r="AC74" s="49"/>
      <c r="AD74" s="49"/>
      <c r="AE74" s="49"/>
      <c r="AF74" s="49"/>
      <c r="AG74" s="49"/>
      <c r="AH74" s="49"/>
      <c r="AI74" s="49"/>
    </row>
    <row r="75" spans="1:49" ht="10.050000000000001" customHeight="1">
      <c r="A75" s="2"/>
      <c r="B75" s="201" t="s">
        <v>17</v>
      </c>
      <c r="C75" s="207"/>
      <c r="D75" s="202"/>
      <c r="E75" s="196">
        <f>D73</f>
        <v>69085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7">
        <f>28525+29600+39100+3100+62165+29250+69870+73500+69085</f>
        <v>404195</v>
      </c>
      <c r="S75" s="197"/>
      <c r="T75" s="214"/>
      <c r="U75" s="215"/>
      <c r="V75" s="2"/>
      <c r="W75" s="23"/>
      <c r="X75" s="25"/>
      <c r="Y75" s="25"/>
      <c r="Z75" s="25"/>
      <c r="AA75" s="23"/>
      <c r="AD75" s="68"/>
      <c r="AE75" s="69"/>
    </row>
    <row r="76" spans="1:49" ht="10.050000000000001" customHeight="1">
      <c r="A76" s="2"/>
      <c r="B76" s="195" t="s">
        <v>12</v>
      </c>
      <c r="C76" s="195"/>
      <c r="D76" s="196">
        <f>R73</f>
        <v>44990</v>
      </c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7">
        <f>76510+33035+58040+13475+68820+6900+95950+62450+44990</f>
        <v>460170</v>
      </c>
      <c r="S76" s="197"/>
      <c r="T76" s="22"/>
      <c r="U76" s="22"/>
      <c r="V76" s="2"/>
      <c r="W76" s="23"/>
      <c r="X76" s="25"/>
      <c r="Y76" s="23"/>
      <c r="Z76" s="23"/>
      <c r="AA76" s="23"/>
      <c r="AD76" s="68"/>
      <c r="AE76" s="69"/>
    </row>
    <row r="77" spans="1:49" ht="10.050000000000001" customHeight="1">
      <c r="A77" s="2"/>
      <c r="B77" s="201" t="s">
        <v>71</v>
      </c>
      <c r="C77" s="202"/>
      <c r="D77" s="203" t="s">
        <v>93</v>
      </c>
      <c r="E77" s="203"/>
      <c r="F77" s="204">
        <f>6000+6000+6000+18000+5600+12250+7000+2800+12000</f>
        <v>75650</v>
      </c>
      <c r="G77" s="204"/>
      <c r="H77" s="203" t="s">
        <v>128</v>
      </c>
      <c r="I77" s="203"/>
      <c r="J77" s="204">
        <v>0</v>
      </c>
      <c r="K77" s="204"/>
      <c r="L77" s="39" t="s">
        <v>89</v>
      </c>
      <c r="M77" s="40">
        <v>6000</v>
      </c>
      <c r="N77" s="40" t="s">
        <v>90</v>
      </c>
      <c r="O77" s="82">
        <v>0</v>
      </c>
      <c r="P77" s="40" t="s">
        <v>91</v>
      </c>
      <c r="Q77" s="40">
        <v>0</v>
      </c>
      <c r="R77" s="197">
        <f>Q77+O77+M77+J77+F77</f>
        <v>81650</v>
      </c>
      <c r="S77" s="197"/>
      <c r="T77" s="22"/>
      <c r="U77" s="22"/>
      <c r="V77" s="2"/>
      <c r="X77" s="63"/>
      <c r="AD77" s="68"/>
      <c r="AE77" s="69"/>
    </row>
    <row r="78" spans="1:49" ht="10.050000000000001" customHeight="1">
      <c r="A78" s="2"/>
      <c r="B78" s="195" t="s">
        <v>11</v>
      </c>
      <c r="C78" s="195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  <c r="S78" s="197"/>
      <c r="T78" s="22"/>
      <c r="U78" s="22"/>
      <c r="V78" s="2"/>
      <c r="X78" s="63">
        <v>50000</v>
      </c>
      <c r="AD78" s="68"/>
      <c r="AE78" s="69"/>
    </row>
    <row r="79" spans="1:49" ht="10.050000000000001" customHeight="1">
      <c r="A79" s="2"/>
      <c r="B79" s="195" t="s">
        <v>8</v>
      </c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7"/>
      <c r="S79" s="197"/>
      <c r="T79" s="22"/>
      <c r="U79" s="22"/>
      <c r="V79" s="2"/>
      <c r="X79" s="63">
        <v>44625</v>
      </c>
      <c r="AD79" s="68"/>
      <c r="AE79" s="69"/>
    </row>
    <row r="80" spans="1:49" ht="10.050000000000001" customHeight="1">
      <c r="A80" s="2"/>
      <c r="B80" s="195" t="s">
        <v>9</v>
      </c>
      <c r="C80" s="195"/>
      <c r="D80" s="195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7">
        <f>R76-R77</f>
        <v>378520</v>
      </c>
      <c r="S80" s="197"/>
      <c r="T80" s="22"/>
      <c r="U80" s="22"/>
      <c r="V80" s="2"/>
      <c r="X80" s="63">
        <f>SUM(X77:X79)</f>
        <v>94625</v>
      </c>
      <c r="AD80" s="68"/>
      <c r="AE80" s="69"/>
    </row>
    <row r="81" spans="1:31" ht="4.8" customHeight="1">
      <c r="A81" s="2"/>
      <c r="B81" s="3"/>
      <c r="C81" s="3"/>
      <c r="D81" s="3"/>
      <c r="E81" s="3"/>
      <c r="F81" s="3"/>
      <c r="G81" s="3"/>
      <c r="H81" s="3"/>
      <c r="I81" s="3"/>
      <c r="J81" s="198"/>
      <c r="K81" s="198"/>
      <c r="L81" s="3"/>
      <c r="M81" s="3"/>
      <c r="N81" s="3"/>
      <c r="O81" s="3"/>
      <c r="P81" s="199"/>
      <c r="Q81" s="199"/>
      <c r="R81" s="200"/>
      <c r="S81" s="200"/>
      <c r="T81" s="2"/>
      <c r="U81" s="2"/>
      <c r="V81" s="2"/>
      <c r="AD81" s="68"/>
      <c r="AE81" s="69"/>
    </row>
    <row r="82" spans="1:31" ht="19.2" customHeight="1">
      <c r="A82" s="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</row>
    <row r="83" spans="1:31" ht="9" customHeight="1">
      <c r="A83" s="2"/>
      <c r="B83" s="2"/>
      <c r="C83" s="2"/>
      <c r="D83" s="2"/>
      <c r="E83" s="2"/>
      <c r="F83" s="2"/>
      <c r="G83" s="2"/>
      <c r="H83" s="2"/>
      <c r="I83" s="2" t="s">
        <v>94</v>
      </c>
      <c r="J83" s="193"/>
      <c r="K83" s="19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31">
      <c r="A84" s="194" t="s">
        <v>74</v>
      </c>
      <c r="B84" s="194"/>
      <c r="C84" s="194" t="s">
        <v>136</v>
      </c>
      <c r="D84" s="194"/>
      <c r="E84" s="194"/>
      <c r="F84" s="194"/>
      <c r="G84" s="5"/>
      <c r="H84" s="194" t="s">
        <v>135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 t="s">
        <v>137</v>
      </c>
      <c r="S84" s="194"/>
      <c r="T84" s="194"/>
      <c r="U84" s="194"/>
      <c r="V84" s="194"/>
    </row>
    <row r="86" spans="1:31">
      <c r="O86" s="36" t="s">
        <v>145</v>
      </c>
      <c r="P86" s="36" t="s">
        <v>90</v>
      </c>
      <c r="Q86" s="36" t="s">
        <v>144</v>
      </c>
      <c r="R86" s="1" t="s">
        <v>142</v>
      </c>
      <c r="S86" s="36"/>
      <c r="T86" s="36" t="s">
        <v>7</v>
      </c>
      <c r="U86" s="36"/>
      <c r="V86" s="36" t="s">
        <v>124</v>
      </c>
      <c r="W86" s="119" t="s">
        <v>14</v>
      </c>
      <c r="X86" s="36" t="s">
        <v>0</v>
      </c>
      <c r="Z86" s="36" t="s">
        <v>147</v>
      </c>
      <c r="AA86" s="36" t="s">
        <v>148</v>
      </c>
    </row>
    <row r="87" spans="1:31">
      <c r="C87" s="63"/>
      <c r="Q87" s="63"/>
      <c r="R87" s="36">
        <v>12000</v>
      </c>
      <c r="S87" s="36">
        <v>1</v>
      </c>
      <c r="T87" s="36">
        <v>76510</v>
      </c>
      <c r="U87" s="36">
        <v>1</v>
      </c>
      <c r="V87" s="36">
        <v>19040</v>
      </c>
      <c r="W87" s="36">
        <v>28525</v>
      </c>
      <c r="X87" s="36">
        <f>SUM(V87:W87)</f>
        <v>47565</v>
      </c>
      <c r="Z87" s="36"/>
      <c r="AA87" s="36"/>
    </row>
    <row r="88" spans="1:31">
      <c r="B88" s="36"/>
      <c r="C88" s="36"/>
      <c r="O88" s="36"/>
      <c r="R88" s="36">
        <v>6000</v>
      </c>
      <c r="S88" s="36">
        <v>2</v>
      </c>
      <c r="T88" s="36">
        <v>33035</v>
      </c>
      <c r="U88" s="36">
        <v>2</v>
      </c>
      <c r="V88" s="36">
        <v>34230</v>
      </c>
      <c r="W88" s="36">
        <v>29600</v>
      </c>
      <c r="X88" s="36">
        <f t="shared" ref="X88:X117" si="13">SUM(V88:W88)</f>
        <v>63830</v>
      </c>
      <c r="Z88" s="36"/>
      <c r="AA88" s="36"/>
    </row>
    <row r="89" spans="1:31">
      <c r="B89" s="36"/>
      <c r="R89" s="36">
        <v>18000</v>
      </c>
      <c r="S89" s="36">
        <v>3</v>
      </c>
      <c r="T89" s="36">
        <v>58040</v>
      </c>
      <c r="U89" s="36">
        <v>3</v>
      </c>
      <c r="V89" s="36">
        <v>16185</v>
      </c>
      <c r="W89" s="36">
        <v>39100</v>
      </c>
      <c r="X89" s="36">
        <f t="shared" si="13"/>
        <v>55285</v>
      </c>
      <c r="Z89" s="36"/>
      <c r="AA89" s="36"/>
    </row>
    <row r="90" spans="1:31">
      <c r="B90" s="36"/>
      <c r="C90" s="36"/>
      <c r="R90" s="36">
        <v>2950</v>
      </c>
      <c r="S90" s="36">
        <v>4</v>
      </c>
      <c r="T90" s="36">
        <v>13475</v>
      </c>
      <c r="U90" s="36">
        <v>4</v>
      </c>
      <c r="V90" s="36">
        <v>52765</v>
      </c>
      <c r="W90" s="36">
        <v>3100</v>
      </c>
      <c r="X90" s="36">
        <f t="shared" si="13"/>
        <v>55865</v>
      </c>
      <c r="Z90" s="36"/>
      <c r="AA90" s="36"/>
    </row>
    <row r="91" spans="1:31">
      <c r="B91" s="36"/>
      <c r="C91" s="36"/>
      <c r="R91" s="36">
        <v>5600</v>
      </c>
      <c r="S91" s="36">
        <v>5</v>
      </c>
      <c r="T91" s="36">
        <v>6900</v>
      </c>
      <c r="U91" s="36">
        <v>5</v>
      </c>
      <c r="V91" s="83">
        <v>57455</v>
      </c>
      <c r="W91" s="83">
        <v>29250</v>
      </c>
      <c r="X91" s="36">
        <f t="shared" si="13"/>
        <v>86705</v>
      </c>
      <c r="Z91" s="36"/>
      <c r="AA91" s="36"/>
    </row>
    <row r="92" spans="1:31">
      <c r="B92" s="36"/>
      <c r="C92" s="36"/>
      <c r="R92" s="36">
        <v>12250</v>
      </c>
      <c r="S92" s="36">
        <v>6</v>
      </c>
      <c r="T92" s="36">
        <v>68820</v>
      </c>
      <c r="U92" s="36">
        <v>6</v>
      </c>
      <c r="V92" s="36">
        <v>19000</v>
      </c>
      <c r="W92" s="36">
        <v>62165</v>
      </c>
      <c r="X92" s="36">
        <f t="shared" si="13"/>
        <v>81165</v>
      </c>
      <c r="Z92" s="36"/>
      <c r="AA92" s="36"/>
    </row>
    <row r="93" spans="1:31">
      <c r="B93" s="36"/>
      <c r="C93" s="41"/>
      <c r="P93" s="36"/>
      <c r="Q93" s="36"/>
      <c r="R93" s="36">
        <f>7000+2800</f>
        <v>9800</v>
      </c>
      <c r="S93" s="36">
        <v>7</v>
      </c>
      <c r="T93" s="36">
        <v>95950</v>
      </c>
      <c r="U93" s="36">
        <v>7</v>
      </c>
      <c r="V93" s="36">
        <v>30150</v>
      </c>
      <c r="W93" s="36">
        <v>69870</v>
      </c>
      <c r="X93" s="36">
        <f t="shared" si="13"/>
        <v>100020</v>
      </c>
      <c r="Z93" s="36"/>
      <c r="AA93" s="36"/>
    </row>
    <row r="94" spans="1:31">
      <c r="B94" s="36"/>
      <c r="C94" s="36"/>
      <c r="O94" s="36"/>
      <c r="P94" s="36"/>
      <c r="Q94" s="36">
        <v>6000</v>
      </c>
      <c r="R94" s="36">
        <v>6500</v>
      </c>
      <c r="S94" s="36">
        <v>8</v>
      </c>
      <c r="T94" s="36">
        <v>62450</v>
      </c>
      <c r="U94" s="36">
        <v>8</v>
      </c>
      <c r="V94" s="36">
        <v>15160</v>
      </c>
      <c r="W94" s="36">
        <v>73500</v>
      </c>
      <c r="X94" s="36">
        <f t="shared" si="13"/>
        <v>88660</v>
      </c>
      <c r="Z94" s="36"/>
      <c r="AA94" s="36"/>
    </row>
    <row r="95" spans="1:31">
      <c r="B95" s="36"/>
      <c r="C95" s="36"/>
      <c r="O95" s="36"/>
      <c r="P95" s="36"/>
      <c r="Q95" s="36">
        <v>6000</v>
      </c>
      <c r="R95" s="36">
        <v>12000</v>
      </c>
      <c r="S95" s="36">
        <v>9</v>
      </c>
      <c r="T95" s="36">
        <v>44990</v>
      </c>
      <c r="U95" s="36">
        <v>9</v>
      </c>
      <c r="V95" s="36">
        <v>25540</v>
      </c>
      <c r="W95" s="36">
        <v>69085</v>
      </c>
      <c r="X95" s="36">
        <f t="shared" si="13"/>
        <v>94625</v>
      </c>
      <c r="Z95" s="36"/>
      <c r="AA95" s="36"/>
    </row>
    <row r="96" spans="1:31">
      <c r="B96" s="36"/>
      <c r="C96" s="36"/>
      <c r="O96" s="36"/>
      <c r="P96" s="36"/>
      <c r="Q96" s="36"/>
      <c r="R96" s="36"/>
      <c r="S96" s="36">
        <v>10</v>
      </c>
      <c r="T96" s="36"/>
      <c r="U96" s="36">
        <v>10</v>
      </c>
      <c r="V96" s="36"/>
      <c r="W96" s="36"/>
      <c r="X96" s="36">
        <f t="shared" si="13"/>
        <v>0</v>
      </c>
      <c r="Z96" s="36"/>
      <c r="AA96" s="36"/>
    </row>
    <row r="97" spans="15:26">
      <c r="O97" s="36"/>
      <c r="P97" s="36"/>
      <c r="Q97" s="36"/>
      <c r="R97" s="36"/>
      <c r="S97" s="36">
        <v>11</v>
      </c>
      <c r="T97" s="36"/>
      <c r="U97" s="36">
        <v>11</v>
      </c>
      <c r="V97" s="36"/>
      <c r="W97" s="36"/>
      <c r="X97" s="36">
        <f t="shared" si="13"/>
        <v>0</v>
      </c>
      <c r="Z97" s="36"/>
    </row>
    <row r="98" spans="15:26">
      <c r="O98" s="36"/>
      <c r="P98" s="36"/>
      <c r="Q98" s="36"/>
      <c r="R98" s="36"/>
      <c r="S98" s="36">
        <v>12</v>
      </c>
      <c r="T98" s="36"/>
      <c r="U98" s="36">
        <v>12</v>
      </c>
      <c r="V98" s="36"/>
      <c r="W98" s="36"/>
      <c r="X98" s="36">
        <f t="shared" si="13"/>
        <v>0</v>
      </c>
      <c r="Z98" s="36"/>
    </row>
    <row r="99" spans="15:26">
      <c r="O99" s="36"/>
      <c r="P99" s="36"/>
      <c r="Q99" s="36"/>
      <c r="R99" s="36"/>
      <c r="S99" s="36">
        <v>13</v>
      </c>
      <c r="T99" s="36"/>
      <c r="U99" s="36">
        <v>13</v>
      </c>
      <c r="V99" s="36"/>
      <c r="W99" s="36"/>
      <c r="X99" s="36">
        <f t="shared" si="13"/>
        <v>0</v>
      </c>
    </row>
    <row r="100" spans="15:26">
      <c r="O100" s="36"/>
      <c r="P100" s="36"/>
      <c r="Q100" s="36"/>
      <c r="R100" s="36"/>
      <c r="S100" s="36">
        <v>14</v>
      </c>
      <c r="T100" s="36"/>
      <c r="U100" s="36">
        <v>14</v>
      </c>
      <c r="V100" s="36"/>
      <c r="W100" s="36"/>
      <c r="X100" s="36">
        <f t="shared" si="13"/>
        <v>0</v>
      </c>
    </row>
    <row r="101" spans="15:26">
      <c r="O101" s="36"/>
      <c r="P101" s="36"/>
      <c r="Q101" s="36"/>
      <c r="R101" s="36"/>
      <c r="S101" s="36">
        <v>15</v>
      </c>
      <c r="T101" s="36"/>
      <c r="U101" s="36">
        <v>15</v>
      </c>
      <c r="V101" s="36"/>
      <c r="W101" s="36"/>
      <c r="X101" s="36">
        <f t="shared" si="13"/>
        <v>0</v>
      </c>
    </row>
    <row r="102" spans="15:26">
      <c r="O102" s="36"/>
      <c r="P102" s="36"/>
      <c r="Q102" s="36"/>
      <c r="R102" s="36"/>
      <c r="S102" s="36">
        <v>16</v>
      </c>
      <c r="T102" s="36"/>
      <c r="U102" s="36">
        <v>16</v>
      </c>
      <c r="V102" s="36"/>
      <c r="W102" s="36"/>
      <c r="X102" s="36">
        <f t="shared" si="13"/>
        <v>0</v>
      </c>
    </row>
    <row r="103" spans="15:26">
      <c r="O103" s="36"/>
      <c r="P103" s="36"/>
      <c r="Q103" s="36"/>
      <c r="R103" s="36"/>
      <c r="S103" s="36">
        <v>17</v>
      </c>
      <c r="T103" s="36"/>
      <c r="U103" s="36">
        <v>17</v>
      </c>
      <c r="V103" s="36"/>
      <c r="W103" s="36"/>
      <c r="X103" s="36">
        <f t="shared" si="13"/>
        <v>0</v>
      </c>
    </row>
    <row r="104" spans="15:26">
      <c r="O104" s="36"/>
      <c r="P104" s="36"/>
      <c r="Q104" s="36"/>
      <c r="R104" s="36"/>
      <c r="S104" s="36">
        <v>18</v>
      </c>
      <c r="T104" s="36"/>
      <c r="U104" s="36">
        <v>18</v>
      </c>
      <c r="V104" s="36"/>
      <c r="W104" s="36"/>
      <c r="X104" s="36">
        <f t="shared" si="13"/>
        <v>0</v>
      </c>
    </row>
    <row r="105" spans="15:26">
      <c r="O105" s="36"/>
      <c r="P105" s="36"/>
      <c r="Q105" s="36"/>
      <c r="R105" s="36"/>
      <c r="S105" s="36">
        <v>19</v>
      </c>
      <c r="T105" s="36"/>
      <c r="U105" s="36">
        <v>19</v>
      </c>
      <c r="V105" s="36"/>
      <c r="W105" s="36"/>
      <c r="X105" s="36">
        <f t="shared" si="13"/>
        <v>0</v>
      </c>
      <c r="Z105" s="36"/>
    </row>
    <row r="106" spans="15:26">
      <c r="O106" s="36"/>
      <c r="P106" s="36"/>
      <c r="Q106" s="36"/>
      <c r="R106" s="36"/>
      <c r="S106" s="36">
        <v>20</v>
      </c>
      <c r="T106" s="36"/>
      <c r="U106" s="36">
        <v>20</v>
      </c>
      <c r="V106" s="36"/>
      <c r="W106" s="36"/>
      <c r="X106" s="36">
        <f t="shared" si="13"/>
        <v>0</v>
      </c>
    </row>
    <row r="107" spans="15:26">
      <c r="O107" s="36"/>
      <c r="P107" s="36"/>
      <c r="Q107" s="36"/>
      <c r="R107" s="36"/>
      <c r="S107" s="36">
        <v>21</v>
      </c>
      <c r="T107" s="36"/>
      <c r="U107" s="36">
        <v>21</v>
      </c>
      <c r="V107" s="36"/>
      <c r="W107" s="36"/>
      <c r="X107" s="36">
        <f t="shared" si="13"/>
        <v>0</v>
      </c>
    </row>
    <row r="108" spans="15:26">
      <c r="O108" s="36"/>
      <c r="P108" s="36"/>
      <c r="Q108" s="36"/>
      <c r="R108" s="36"/>
      <c r="S108" s="36">
        <v>22</v>
      </c>
      <c r="T108" s="36"/>
      <c r="U108" s="36">
        <v>22</v>
      </c>
      <c r="V108" s="36"/>
      <c r="W108" s="36"/>
      <c r="X108" s="36">
        <f t="shared" si="13"/>
        <v>0</v>
      </c>
    </row>
    <row r="109" spans="15:26">
      <c r="O109" s="36"/>
      <c r="P109" s="36"/>
      <c r="Q109" s="36"/>
      <c r="R109" s="36"/>
      <c r="S109" s="36">
        <v>23</v>
      </c>
      <c r="T109" s="36"/>
      <c r="U109" s="36">
        <v>23</v>
      </c>
      <c r="V109" s="36"/>
      <c r="W109" s="36"/>
      <c r="X109" s="36">
        <f t="shared" si="13"/>
        <v>0</v>
      </c>
    </row>
    <row r="110" spans="15:26">
      <c r="O110" s="36"/>
      <c r="P110" s="36"/>
      <c r="Q110" s="36"/>
      <c r="R110" s="36"/>
      <c r="S110" s="36">
        <v>24</v>
      </c>
      <c r="T110" s="36"/>
      <c r="U110" s="36">
        <v>24</v>
      </c>
      <c r="V110" s="36"/>
      <c r="W110" s="36"/>
      <c r="X110" s="36">
        <f t="shared" si="13"/>
        <v>0</v>
      </c>
    </row>
    <row r="111" spans="15:26">
      <c r="O111" s="36"/>
      <c r="P111" s="36"/>
      <c r="Q111" s="36"/>
      <c r="R111" s="36"/>
      <c r="S111" s="36">
        <v>25</v>
      </c>
      <c r="T111" s="36"/>
      <c r="U111" s="36">
        <v>25</v>
      </c>
      <c r="V111" s="36"/>
      <c r="W111" s="36"/>
      <c r="X111" s="36">
        <f t="shared" si="13"/>
        <v>0</v>
      </c>
    </row>
    <row r="112" spans="15:26">
      <c r="O112" s="36"/>
      <c r="P112" s="36"/>
      <c r="Q112" s="36"/>
      <c r="R112" s="36"/>
      <c r="S112" s="36">
        <v>26</v>
      </c>
      <c r="T112" s="36"/>
      <c r="U112" s="36">
        <v>26</v>
      </c>
      <c r="V112" s="36"/>
      <c r="W112" s="36"/>
      <c r="X112" s="36">
        <f t="shared" si="13"/>
        <v>0</v>
      </c>
    </row>
    <row r="113" spans="15:27">
      <c r="O113" s="36"/>
      <c r="P113" s="36"/>
      <c r="Q113" s="36"/>
      <c r="R113" s="36"/>
      <c r="S113" s="36">
        <v>27</v>
      </c>
      <c r="T113" s="36"/>
      <c r="U113" s="36">
        <v>27</v>
      </c>
      <c r="V113" s="36"/>
      <c r="W113" s="36"/>
      <c r="X113" s="36">
        <f t="shared" si="13"/>
        <v>0</v>
      </c>
    </row>
    <row r="114" spans="15:27">
      <c r="O114" s="36"/>
      <c r="P114" s="36"/>
      <c r="Q114" s="36"/>
      <c r="R114" s="36"/>
      <c r="S114" s="36">
        <v>28</v>
      </c>
      <c r="T114" s="36"/>
      <c r="U114" s="36">
        <v>28</v>
      </c>
      <c r="V114" s="36"/>
      <c r="W114" s="36"/>
      <c r="X114" s="36">
        <f t="shared" si="13"/>
        <v>0</v>
      </c>
    </row>
    <row r="115" spans="15:27">
      <c r="O115" s="36"/>
      <c r="P115" s="36"/>
      <c r="Q115" s="36"/>
      <c r="R115" s="36"/>
      <c r="S115" s="36">
        <v>29</v>
      </c>
      <c r="T115" s="36"/>
      <c r="U115" s="36">
        <v>29</v>
      </c>
      <c r="V115" s="36"/>
      <c r="W115" s="36"/>
      <c r="X115" s="36">
        <f t="shared" si="13"/>
        <v>0</v>
      </c>
    </row>
    <row r="116" spans="15:27">
      <c r="O116" s="36"/>
      <c r="P116" s="36"/>
      <c r="Q116" s="36"/>
      <c r="R116" s="36"/>
      <c r="S116" s="36">
        <v>30</v>
      </c>
      <c r="T116" s="36"/>
      <c r="U116" s="36">
        <v>30</v>
      </c>
      <c r="V116" s="36"/>
      <c r="W116" s="36"/>
      <c r="X116" s="36">
        <f t="shared" si="13"/>
        <v>0</v>
      </c>
    </row>
    <row r="117" spans="15:27">
      <c r="O117" s="36"/>
      <c r="P117" s="36"/>
      <c r="Q117" s="36"/>
      <c r="R117" s="36"/>
      <c r="S117" s="36">
        <v>31</v>
      </c>
      <c r="T117" s="36"/>
      <c r="U117" s="36">
        <v>31</v>
      </c>
      <c r="V117" s="36"/>
      <c r="W117" s="36"/>
      <c r="X117" s="36">
        <f t="shared" si="13"/>
        <v>0</v>
      </c>
    </row>
    <row r="118" spans="15:27">
      <c r="O118" s="63">
        <f t="shared" ref="O118:R118" si="14">SUM(O87:O117)</f>
        <v>0</v>
      </c>
      <c r="P118" s="63">
        <f t="shared" si="14"/>
        <v>0</v>
      </c>
      <c r="Q118" s="63">
        <f t="shared" si="14"/>
        <v>12000</v>
      </c>
      <c r="R118" s="63">
        <f t="shared" si="14"/>
        <v>85100</v>
      </c>
      <c r="S118" s="63"/>
      <c r="T118" s="63">
        <f>SUM(T87:T117)</f>
        <v>460170</v>
      </c>
      <c r="U118" s="63"/>
      <c r="V118" s="63">
        <f>SUM(V87:V117)</f>
        <v>269525</v>
      </c>
      <c r="W118" s="63">
        <f>SUM(W87:W117)</f>
        <v>404195</v>
      </c>
      <c r="X118" s="36">
        <f>SUM(V118:W118)</f>
        <v>673720</v>
      </c>
      <c r="Z118" s="63">
        <f>SUM(Z87:Z117)</f>
        <v>0</v>
      </c>
      <c r="AA118" s="63">
        <f>SUM(AA87:AA117)</f>
        <v>0</v>
      </c>
    </row>
    <row r="145" spans="24:24">
      <c r="X145" s="1">
        <f>SUM(X120:X144)</f>
        <v>0</v>
      </c>
    </row>
  </sheetData>
  <mergeCells count="63">
    <mergeCell ref="B82:V82"/>
    <mergeCell ref="J83:K83"/>
    <mergeCell ref="A84:B84"/>
    <mergeCell ref="C84:F84"/>
    <mergeCell ref="H84:Q84"/>
    <mergeCell ref="R84:V84"/>
    <mergeCell ref="B80:D80"/>
    <mergeCell ref="E80:Q80"/>
    <mergeCell ref="R80:S80"/>
    <mergeCell ref="J81:K81"/>
    <mergeCell ref="P81:Q81"/>
    <mergeCell ref="R81:S81"/>
    <mergeCell ref="B78:C78"/>
    <mergeCell ref="D78:Q78"/>
    <mergeCell ref="R78:S78"/>
    <mergeCell ref="B79:C79"/>
    <mergeCell ref="D79:Q79"/>
    <mergeCell ref="R79:S79"/>
    <mergeCell ref="B76:C76"/>
    <mergeCell ref="D76:Q76"/>
    <mergeCell ref="R76:S76"/>
    <mergeCell ref="B77:C77"/>
    <mergeCell ref="D77:E77"/>
    <mergeCell ref="F77:G77"/>
    <mergeCell ref="H77:I77"/>
    <mergeCell ref="J77:K77"/>
    <mergeCell ref="R77:S77"/>
    <mergeCell ref="A73:B73"/>
    <mergeCell ref="B74:D74"/>
    <mergeCell ref="E74:Q74"/>
    <mergeCell ref="R74:S74"/>
    <mergeCell ref="T74:U75"/>
    <mergeCell ref="B75:D75"/>
    <mergeCell ref="E75:Q75"/>
    <mergeCell ref="R75:S75"/>
    <mergeCell ref="A72:B72"/>
    <mergeCell ref="Y5:AF5"/>
    <mergeCell ref="AG5:AG6"/>
    <mergeCell ref="AH5:AH6"/>
    <mergeCell ref="AJ5:AM5"/>
    <mergeCell ref="A5:A6"/>
    <mergeCell ref="B5:B6"/>
    <mergeCell ref="C5:C6"/>
    <mergeCell ref="D5:P5"/>
    <mergeCell ref="Q5:Q6"/>
    <mergeCell ref="A7:A18"/>
    <mergeCell ref="A19:A43"/>
    <mergeCell ref="A44:A61"/>
    <mergeCell ref="A62:A65"/>
    <mergeCell ref="A67:A71"/>
    <mergeCell ref="AO5:AR5"/>
    <mergeCell ref="AT5:AW5"/>
    <mergeCell ref="R5:R6"/>
    <mergeCell ref="S5:S6"/>
    <mergeCell ref="T5:T6"/>
    <mergeCell ref="U5:U6"/>
    <mergeCell ref="V5:V6"/>
    <mergeCell ref="W5:W6"/>
    <mergeCell ref="A1:V1"/>
    <mergeCell ref="A2:V2"/>
    <mergeCell ref="A3:V3"/>
    <mergeCell ref="R4:V4"/>
    <mergeCell ref="AG4:AH4"/>
  </mergeCells>
  <pageMargins left="0.2" right="0.2" top="0.25" bottom="0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01.10.19</vt:lpstr>
      <vt:lpstr>02.10.19</vt:lpstr>
      <vt:lpstr>03.10.19</vt:lpstr>
      <vt:lpstr>04.10.19</vt:lpstr>
      <vt:lpstr>05.10.19</vt:lpstr>
      <vt:lpstr>06.10.19</vt:lpstr>
      <vt:lpstr>07.10.19</vt:lpstr>
      <vt:lpstr>08.10.19</vt:lpstr>
      <vt:lpstr>09.10.19</vt:lpstr>
      <vt:lpstr>10.10.19</vt:lpstr>
      <vt:lpstr>11.10.19</vt:lpstr>
      <vt:lpstr>12.10.19</vt:lpstr>
      <vt:lpstr>13.10.19</vt:lpstr>
      <vt:lpstr>14.10.19</vt:lpstr>
      <vt:lpstr>15.10.19</vt:lpstr>
      <vt:lpstr>16.10.19</vt:lpstr>
      <vt:lpstr>17.10.19</vt:lpstr>
      <vt:lpstr>18.10.19</vt:lpstr>
      <vt:lpstr>19.10.19</vt:lpstr>
      <vt:lpstr>20.10.19</vt:lpstr>
      <vt:lpstr>21.10.19</vt:lpstr>
      <vt:lpstr>22.10.19</vt:lpstr>
      <vt:lpstr>23.10.19</vt:lpstr>
      <vt:lpstr>24.10.19</vt:lpstr>
      <vt:lpstr>25.10.19</vt:lpstr>
      <vt:lpstr>26.10.19</vt:lpstr>
      <vt:lpstr>27.10.19</vt:lpstr>
      <vt:lpstr>28.10.19</vt:lpstr>
      <vt:lpstr>29.10.19</vt:lpstr>
      <vt:lpstr>30.10.19</vt:lpstr>
      <vt:lpstr>31.10.19</vt:lpstr>
      <vt:lpstr>Statement</vt:lpstr>
      <vt:lpstr>Variance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ASUS-KG</dc:creator>
  <cp:lastModifiedBy>KFINV</cp:lastModifiedBy>
  <cp:lastPrinted>2019-06-01T11:22:45Z</cp:lastPrinted>
  <dcterms:created xsi:type="dcterms:W3CDTF">2017-04-10T17:04:55Z</dcterms:created>
  <dcterms:modified xsi:type="dcterms:W3CDTF">2019-11-01T04:25:52Z</dcterms:modified>
</cp:coreProperties>
</file>