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16" windowHeight="7956" tabRatio="880" firstSheet="15" activeTab="28"/>
  </bookViews>
  <sheets>
    <sheet name="01.10.19" sheetId="857" r:id="rId1"/>
    <sheet name="02.10.19" sheetId="858" r:id="rId2"/>
    <sheet name="03.10.19" sheetId="859" r:id="rId3"/>
    <sheet name="04.10.19" sheetId="860" r:id="rId4"/>
    <sheet name="05.10.19" sheetId="861" r:id="rId5"/>
    <sheet name="06.10.19" sheetId="862" r:id="rId6"/>
    <sheet name="07.10.19" sheetId="863" r:id="rId7"/>
    <sheet name="08.10.19" sheetId="864" r:id="rId8"/>
    <sheet name="09.10.19" sheetId="865" r:id="rId9"/>
    <sheet name="10.10.19" sheetId="866" r:id="rId10"/>
    <sheet name="11.10.19" sheetId="867" r:id="rId11"/>
    <sheet name="12.10.19" sheetId="868" r:id="rId12"/>
    <sheet name="13.10.19" sheetId="869" r:id="rId13"/>
    <sheet name="14.10.19" sheetId="870" r:id="rId14"/>
    <sheet name="15.10.19" sheetId="871" r:id="rId15"/>
    <sheet name="16.10.19" sheetId="872" r:id="rId16"/>
    <sheet name="17.10.19" sheetId="873" r:id="rId17"/>
    <sheet name="18.10.19" sheetId="874" r:id="rId18"/>
    <sheet name="19.10.19" sheetId="875" r:id="rId19"/>
    <sheet name="20.10.19" sheetId="876" r:id="rId20"/>
    <sheet name="21.10.19" sheetId="877" r:id="rId21"/>
    <sheet name="22.10.19" sheetId="878" r:id="rId22"/>
    <sheet name="23.10.19" sheetId="879" r:id="rId23"/>
    <sheet name="24.10.19" sheetId="880" r:id="rId24"/>
    <sheet name="25.10.19" sheetId="881" r:id="rId25"/>
    <sheet name="26.10.19" sheetId="882" r:id="rId26"/>
    <sheet name="27.10.19" sheetId="883" r:id="rId27"/>
    <sheet name="28.10.19" sheetId="884" r:id="rId28"/>
    <sheet name="29.10.19" sheetId="885" r:id="rId29"/>
    <sheet name="Statement" sheetId="504" r:id="rId30"/>
  </sheets>
  <calcPr calcId="124519"/>
</workbook>
</file>

<file path=xl/calcChain.xml><?xml version="1.0" encoding="utf-8"?>
<calcChain xmlns="http://schemas.openxmlformats.org/spreadsheetml/2006/main">
  <c r="M98" i="885"/>
  <c r="K98"/>
  <c r="I98"/>
  <c r="H98"/>
  <c r="F98"/>
  <c r="D98"/>
  <c r="L97"/>
  <c r="O97" s="1"/>
  <c r="J97"/>
  <c r="P97" s="1"/>
  <c r="G97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J92"/>
  <c r="P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L87"/>
  <c r="O87" s="1"/>
  <c r="J87"/>
  <c r="P87" s="1"/>
  <c r="G87"/>
  <c r="V86"/>
  <c r="J86"/>
  <c r="P86" s="1"/>
  <c r="G86"/>
  <c r="V85"/>
  <c r="J85"/>
  <c r="P85" s="1"/>
  <c r="G85"/>
  <c r="J84"/>
  <c r="P84" s="1"/>
  <c r="G84"/>
  <c r="G83"/>
  <c r="J83" s="1"/>
  <c r="R82"/>
  <c r="G82"/>
  <c r="J82" s="1"/>
  <c r="R81"/>
  <c r="G81"/>
  <c r="J81" s="1"/>
  <c r="G80"/>
  <c r="J80" s="1"/>
  <c r="L80" s="1"/>
  <c r="O80" s="1"/>
  <c r="J79"/>
  <c r="P79" s="1"/>
  <c r="G79"/>
  <c r="V78"/>
  <c r="G78"/>
  <c r="J78" s="1"/>
  <c r="J77"/>
  <c r="L77" s="1"/>
  <c r="O77" s="1"/>
  <c r="G77"/>
  <c r="V76"/>
  <c r="G76"/>
  <c r="J76" s="1"/>
  <c r="G75"/>
  <c r="J75" s="1"/>
  <c r="G74"/>
  <c r="J74" s="1"/>
  <c r="L74" s="1"/>
  <c r="O74" s="1"/>
  <c r="J73"/>
  <c r="P73" s="1"/>
  <c r="G73"/>
  <c r="G72"/>
  <c r="J72" s="1"/>
  <c r="G71"/>
  <c r="J71" s="1"/>
  <c r="J70"/>
  <c r="L70" s="1"/>
  <c r="O70" s="1"/>
  <c r="G70"/>
  <c r="G69"/>
  <c r="J69" s="1"/>
  <c r="V68"/>
  <c r="G68"/>
  <c r="J68" s="1"/>
  <c r="G67"/>
  <c r="J67" s="1"/>
  <c r="L67" s="1"/>
  <c r="O67" s="1"/>
  <c r="G66"/>
  <c r="J66" s="1"/>
  <c r="G65"/>
  <c r="J65" s="1"/>
  <c r="V64"/>
  <c r="G64"/>
  <c r="J64" s="1"/>
  <c r="L64" s="1"/>
  <c r="O64" s="1"/>
  <c r="V63"/>
  <c r="G63"/>
  <c r="J63" s="1"/>
  <c r="R62"/>
  <c r="G62"/>
  <c r="J62" s="1"/>
  <c r="L62" s="1"/>
  <c r="O62" s="1"/>
  <c r="J61"/>
  <c r="P61" s="1"/>
  <c r="G61"/>
  <c r="V60"/>
  <c r="G60"/>
  <c r="J60" s="1"/>
  <c r="J59"/>
  <c r="L59" s="1"/>
  <c r="O59" s="1"/>
  <c r="G59"/>
  <c r="R58"/>
  <c r="J58"/>
  <c r="P58" s="1"/>
  <c r="G58"/>
  <c r="V57"/>
  <c r="G57"/>
  <c r="J57" s="1"/>
  <c r="L57" s="1"/>
  <c r="O57" s="1"/>
  <c r="V56"/>
  <c r="G56"/>
  <c r="J56" s="1"/>
  <c r="G55"/>
  <c r="J55" s="1"/>
  <c r="G54"/>
  <c r="J54" s="1"/>
  <c r="L54" s="1"/>
  <c r="O54" s="1"/>
  <c r="G53"/>
  <c r="J53" s="1"/>
  <c r="G52"/>
  <c r="J52" s="1"/>
  <c r="V51"/>
  <c r="G51"/>
  <c r="J51" s="1"/>
  <c r="L51" s="1"/>
  <c r="O51" s="1"/>
  <c r="G50"/>
  <c r="J50" s="1"/>
  <c r="J49"/>
  <c r="P49" s="1"/>
  <c r="G49"/>
  <c r="V48"/>
  <c r="J48"/>
  <c r="L48" s="1"/>
  <c r="O48" s="1"/>
  <c r="G48"/>
  <c r="V47"/>
  <c r="J47"/>
  <c r="P47" s="1"/>
  <c r="G47"/>
  <c r="G46"/>
  <c r="J46" s="1"/>
  <c r="G45"/>
  <c r="J45" s="1"/>
  <c r="L45" s="1"/>
  <c r="O45" s="1"/>
  <c r="R44"/>
  <c r="G44"/>
  <c r="J44" s="1"/>
  <c r="G43"/>
  <c r="J43" s="1"/>
  <c r="G42"/>
  <c r="J42" s="1"/>
  <c r="L42" s="1"/>
  <c r="O42" s="1"/>
  <c r="V41"/>
  <c r="G41"/>
  <c r="J41" s="1"/>
  <c r="G40"/>
  <c r="J40" s="1"/>
  <c r="V39"/>
  <c r="G39"/>
  <c r="J39" s="1"/>
  <c r="V38"/>
  <c r="G38"/>
  <c r="J38" s="1"/>
  <c r="G37"/>
  <c r="J37" s="1"/>
  <c r="L37" s="1"/>
  <c r="O37" s="1"/>
  <c r="G36"/>
  <c r="J36" s="1"/>
  <c r="V35"/>
  <c r="G35"/>
  <c r="J35" s="1"/>
  <c r="G34"/>
  <c r="J34" s="1"/>
  <c r="L34" s="1"/>
  <c r="O34" s="1"/>
  <c r="J33"/>
  <c r="P33" s="1"/>
  <c r="G33"/>
  <c r="G32"/>
  <c r="J32" s="1"/>
  <c r="P32" s="1"/>
  <c r="G31"/>
  <c r="J31" s="1"/>
  <c r="G30"/>
  <c r="J30" s="1"/>
  <c r="L30" s="1"/>
  <c r="O30" s="1"/>
  <c r="G29"/>
  <c r="J29" s="1"/>
  <c r="G28"/>
  <c r="J28" s="1"/>
  <c r="G27"/>
  <c r="J27" s="1"/>
  <c r="G26"/>
  <c r="J26" s="1"/>
  <c r="L26" s="1"/>
  <c r="O26" s="1"/>
  <c r="J25"/>
  <c r="P25" s="1"/>
  <c r="G25"/>
  <c r="G24"/>
  <c r="J24" s="1"/>
  <c r="P24" s="1"/>
  <c r="G23"/>
  <c r="J23" s="1"/>
  <c r="R22"/>
  <c r="G22"/>
  <c r="J22" s="1"/>
  <c r="G21"/>
  <c r="J21" s="1"/>
  <c r="G20"/>
  <c r="J20" s="1"/>
  <c r="L20" s="1"/>
  <c r="O20" s="1"/>
  <c r="G19"/>
  <c r="J19" s="1"/>
  <c r="G18"/>
  <c r="J18" s="1"/>
  <c r="G17"/>
  <c r="J17" s="1"/>
  <c r="G16"/>
  <c r="J16" s="1"/>
  <c r="L16" s="1"/>
  <c r="O16" s="1"/>
  <c r="G15"/>
  <c r="J15" s="1"/>
  <c r="J14"/>
  <c r="P14" s="1"/>
  <c r="G14"/>
  <c r="G13"/>
  <c r="J13" s="1"/>
  <c r="J12"/>
  <c r="L12" s="1"/>
  <c r="O12" s="1"/>
  <c r="G12"/>
  <c r="G11"/>
  <c r="J11" s="1"/>
  <c r="G10"/>
  <c r="J10" s="1"/>
  <c r="J9"/>
  <c r="L9" s="1"/>
  <c r="O9" s="1"/>
  <c r="G9"/>
  <c r="G8"/>
  <c r="J8" s="1"/>
  <c r="G7"/>
  <c r="J7" s="1"/>
  <c r="G6"/>
  <c r="J6" s="1"/>
  <c r="E21" i="884"/>
  <c r="E98" s="1"/>
  <c r="M98"/>
  <c r="K98"/>
  <c r="I98"/>
  <c r="H98"/>
  <c r="F98"/>
  <c r="D98"/>
  <c r="J97"/>
  <c r="P97" s="1"/>
  <c r="G97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J92"/>
  <c r="P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J87"/>
  <c r="P87" s="1"/>
  <c r="G87"/>
  <c r="V86"/>
  <c r="P86"/>
  <c r="J86"/>
  <c r="L86" s="1"/>
  <c r="O86" s="1"/>
  <c r="G86"/>
  <c r="V85"/>
  <c r="J85"/>
  <c r="P85" s="1"/>
  <c r="G85"/>
  <c r="J84"/>
  <c r="P84" s="1"/>
  <c r="G84"/>
  <c r="G83"/>
  <c r="J83" s="1"/>
  <c r="R82"/>
  <c r="G82"/>
  <c r="J82" s="1"/>
  <c r="R81"/>
  <c r="G81"/>
  <c r="J81" s="1"/>
  <c r="G80"/>
  <c r="J80" s="1"/>
  <c r="L80" s="1"/>
  <c r="O80" s="1"/>
  <c r="G79"/>
  <c r="J79" s="1"/>
  <c r="V78"/>
  <c r="G78"/>
  <c r="J78" s="1"/>
  <c r="G77"/>
  <c r="J77" s="1"/>
  <c r="L77" s="1"/>
  <c r="O77" s="1"/>
  <c r="V76"/>
  <c r="G76"/>
  <c r="J76" s="1"/>
  <c r="G75"/>
  <c r="J75" s="1"/>
  <c r="G74"/>
  <c r="J74" s="1"/>
  <c r="L74" s="1"/>
  <c r="O74" s="1"/>
  <c r="J73"/>
  <c r="P73" s="1"/>
  <c r="G73"/>
  <c r="G72"/>
  <c r="J72" s="1"/>
  <c r="G71"/>
  <c r="J71" s="1"/>
  <c r="G70"/>
  <c r="J70" s="1"/>
  <c r="L70" s="1"/>
  <c r="O70" s="1"/>
  <c r="G69"/>
  <c r="J69" s="1"/>
  <c r="V68"/>
  <c r="G68"/>
  <c r="J68" s="1"/>
  <c r="G67"/>
  <c r="J67" s="1"/>
  <c r="L67" s="1"/>
  <c r="O67" s="1"/>
  <c r="G66"/>
  <c r="J66" s="1"/>
  <c r="G65"/>
  <c r="J65" s="1"/>
  <c r="V64"/>
  <c r="G64"/>
  <c r="J64" s="1"/>
  <c r="L64" s="1"/>
  <c r="O64" s="1"/>
  <c r="V63"/>
  <c r="G63"/>
  <c r="J63" s="1"/>
  <c r="R62"/>
  <c r="J62"/>
  <c r="L62" s="1"/>
  <c r="O62" s="1"/>
  <c r="G62"/>
  <c r="G61"/>
  <c r="J61" s="1"/>
  <c r="P61" s="1"/>
  <c r="V60"/>
  <c r="G60"/>
  <c r="J60" s="1"/>
  <c r="G59"/>
  <c r="J59" s="1"/>
  <c r="L59" s="1"/>
  <c r="O59" s="1"/>
  <c r="R58"/>
  <c r="G58"/>
  <c r="J58" s="1"/>
  <c r="V57"/>
  <c r="J57"/>
  <c r="L57" s="1"/>
  <c r="O57" s="1"/>
  <c r="G57"/>
  <c r="V56"/>
  <c r="J56"/>
  <c r="P56" s="1"/>
  <c r="G56"/>
  <c r="G55"/>
  <c r="J55" s="1"/>
  <c r="J54"/>
  <c r="L54" s="1"/>
  <c r="O54" s="1"/>
  <c r="G54"/>
  <c r="G53"/>
  <c r="J53" s="1"/>
  <c r="G52"/>
  <c r="J52" s="1"/>
  <c r="V51"/>
  <c r="G51"/>
  <c r="J51" s="1"/>
  <c r="L51" s="1"/>
  <c r="O51" s="1"/>
  <c r="G50"/>
  <c r="J50" s="1"/>
  <c r="G49"/>
  <c r="J49" s="1"/>
  <c r="V48"/>
  <c r="J48"/>
  <c r="L48" s="1"/>
  <c r="O48" s="1"/>
  <c r="G48"/>
  <c r="V47"/>
  <c r="J47"/>
  <c r="P47" s="1"/>
  <c r="G47"/>
  <c r="G46"/>
  <c r="J46" s="1"/>
  <c r="J45"/>
  <c r="L45" s="1"/>
  <c r="O45" s="1"/>
  <c r="G45"/>
  <c r="R44"/>
  <c r="J44"/>
  <c r="P44" s="1"/>
  <c r="G44"/>
  <c r="G43"/>
  <c r="J43" s="1"/>
  <c r="G42"/>
  <c r="J42" s="1"/>
  <c r="L42" s="1"/>
  <c r="O42" s="1"/>
  <c r="V41"/>
  <c r="G41"/>
  <c r="J41" s="1"/>
  <c r="G40"/>
  <c r="J40" s="1"/>
  <c r="V39"/>
  <c r="G39"/>
  <c r="J39" s="1"/>
  <c r="V38"/>
  <c r="G38"/>
  <c r="J38" s="1"/>
  <c r="G37"/>
  <c r="J37" s="1"/>
  <c r="L37" s="1"/>
  <c r="O37" s="1"/>
  <c r="J36"/>
  <c r="P36" s="1"/>
  <c r="G36"/>
  <c r="V35"/>
  <c r="G35"/>
  <c r="J35" s="1"/>
  <c r="J34"/>
  <c r="L34" s="1"/>
  <c r="O34" s="1"/>
  <c r="G34"/>
  <c r="G33"/>
  <c r="J33" s="1"/>
  <c r="P33" s="1"/>
  <c r="J32"/>
  <c r="P32" s="1"/>
  <c r="G32"/>
  <c r="G31"/>
  <c r="J31" s="1"/>
  <c r="G30"/>
  <c r="J30" s="1"/>
  <c r="L30" s="1"/>
  <c r="O30" s="1"/>
  <c r="G29"/>
  <c r="J29" s="1"/>
  <c r="G28"/>
  <c r="J28" s="1"/>
  <c r="G27"/>
  <c r="J27" s="1"/>
  <c r="G26"/>
  <c r="J26" s="1"/>
  <c r="L26" s="1"/>
  <c r="O26" s="1"/>
  <c r="J25"/>
  <c r="P25" s="1"/>
  <c r="G25"/>
  <c r="G24"/>
  <c r="J24" s="1"/>
  <c r="P24" s="1"/>
  <c r="G23"/>
  <c r="J23" s="1"/>
  <c r="R22"/>
  <c r="J22"/>
  <c r="P22" s="1"/>
  <c r="G22"/>
  <c r="G20"/>
  <c r="J20" s="1"/>
  <c r="G19"/>
  <c r="J19" s="1"/>
  <c r="L19" s="1"/>
  <c r="O19" s="1"/>
  <c r="G18"/>
  <c r="J18" s="1"/>
  <c r="G17"/>
  <c r="J17" s="1"/>
  <c r="G16"/>
  <c r="J16" s="1"/>
  <c r="G15"/>
  <c r="J15" s="1"/>
  <c r="L15" s="1"/>
  <c r="O15" s="1"/>
  <c r="J14"/>
  <c r="P14" s="1"/>
  <c r="G14"/>
  <c r="J13"/>
  <c r="P13" s="1"/>
  <c r="G13"/>
  <c r="G12"/>
  <c r="J12" s="1"/>
  <c r="G11"/>
  <c r="J11" s="1"/>
  <c r="L11" s="1"/>
  <c r="O11" s="1"/>
  <c r="J10"/>
  <c r="P10" s="1"/>
  <c r="G10"/>
  <c r="G9"/>
  <c r="J9" s="1"/>
  <c r="G8"/>
  <c r="J8" s="1"/>
  <c r="L8" s="1"/>
  <c r="O8" s="1"/>
  <c r="G7"/>
  <c r="J7" s="1"/>
  <c r="G6"/>
  <c r="J6" s="1"/>
  <c r="M98" i="883"/>
  <c r="K98"/>
  <c r="I98"/>
  <c r="H98"/>
  <c r="F98"/>
  <c r="D98"/>
  <c r="J97"/>
  <c r="L97" s="1"/>
  <c r="O97" s="1"/>
  <c r="G97"/>
  <c r="J96"/>
  <c r="P96" s="1"/>
  <c r="G96"/>
  <c r="V95"/>
  <c r="J95"/>
  <c r="P95" s="1"/>
  <c r="G95"/>
  <c r="V94"/>
  <c r="J94"/>
  <c r="P94" s="1"/>
  <c r="G94"/>
  <c r="V93"/>
  <c r="J93"/>
  <c r="L93" s="1"/>
  <c r="O93" s="1"/>
  <c r="G93"/>
  <c r="J92"/>
  <c r="L92" s="1"/>
  <c r="O92" s="1"/>
  <c r="G92"/>
  <c r="J91"/>
  <c r="P91" s="1"/>
  <c r="G91"/>
  <c r="V90"/>
  <c r="L90"/>
  <c r="O90" s="1"/>
  <c r="J90"/>
  <c r="P90" s="1"/>
  <c r="G90"/>
  <c r="V89"/>
  <c r="L89"/>
  <c r="O89" s="1"/>
  <c r="J89"/>
  <c r="P89" s="1"/>
  <c r="G89"/>
  <c r="V88"/>
  <c r="L88"/>
  <c r="O88" s="1"/>
  <c r="J88"/>
  <c r="P88" s="1"/>
  <c r="G88"/>
  <c r="J87"/>
  <c r="L87" s="1"/>
  <c r="O87" s="1"/>
  <c r="G87"/>
  <c r="V86"/>
  <c r="J86"/>
  <c r="P86" s="1"/>
  <c r="G86"/>
  <c r="V85"/>
  <c r="J85"/>
  <c r="P85" s="1"/>
  <c r="G85"/>
  <c r="J84"/>
  <c r="P84" s="1"/>
  <c r="G84"/>
  <c r="L83"/>
  <c r="O83" s="1"/>
  <c r="J83"/>
  <c r="P83" s="1"/>
  <c r="G83"/>
  <c r="R82"/>
  <c r="J82"/>
  <c r="P82" s="1"/>
  <c r="G82"/>
  <c r="R81"/>
  <c r="L81"/>
  <c r="O81" s="1"/>
  <c r="J81"/>
  <c r="P81" s="1"/>
  <c r="G81"/>
  <c r="G80"/>
  <c r="J80" s="1"/>
  <c r="J79"/>
  <c r="L79" s="1"/>
  <c r="O79" s="1"/>
  <c r="G79"/>
  <c r="V78"/>
  <c r="L78"/>
  <c r="O78" s="1"/>
  <c r="J78"/>
  <c r="P78" s="1"/>
  <c r="G78"/>
  <c r="G77"/>
  <c r="J77" s="1"/>
  <c r="V76"/>
  <c r="G76"/>
  <c r="J76" s="1"/>
  <c r="G75"/>
  <c r="J75" s="1"/>
  <c r="G74"/>
  <c r="J74" s="1"/>
  <c r="J73"/>
  <c r="P73" s="1"/>
  <c r="G73"/>
  <c r="G72"/>
  <c r="J72" s="1"/>
  <c r="J71"/>
  <c r="P71" s="1"/>
  <c r="G71"/>
  <c r="G70"/>
  <c r="J70" s="1"/>
  <c r="J69"/>
  <c r="L69" s="1"/>
  <c r="O69" s="1"/>
  <c r="G69"/>
  <c r="V68"/>
  <c r="L68"/>
  <c r="O68" s="1"/>
  <c r="J68"/>
  <c r="P68" s="1"/>
  <c r="G68"/>
  <c r="G67"/>
  <c r="J67" s="1"/>
  <c r="J66"/>
  <c r="P66" s="1"/>
  <c r="G66"/>
  <c r="G65"/>
  <c r="J65" s="1"/>
  <c r="V64"/>
  <c r="G64"/>
  <c r="J64" s="1"/>
  <c r="V63"/>
  <c r="G63"/>
  <c r="J63" s="1"/>
  <c r="R62"/>
  <c r="G62"/>
  <c r="J62" s="1"/>
  <c r="G61"/>
  <c r="J61" s="1"/>
  <c r="L61" s="1"/>
  <c r="O61" s="1"/>
  <c r="V60"/>
  <c r="J60"/>
  <c r="P60" s="1"/>
  <c r="G60"/>
  <c r="G59"/>
  <c r="J59" s="1"/>
  <c r="R58"/>
  <c r="G58"/>
  <c r="J58" s="1"/>
  <c r="V57"/>
  <c r="G57"/>
  <c r="J57" s="1"/>
  <c r="V56"/>
  <c r="J56"/>
  <c r="P56" s="1"/>
  <c r="G56"/>
  <c r="J55"/>
  <c r="P55" s="1"/>
  <c r="G55"/>
  <c r="G54"/>
  <c r="J54" s="1"/>
  <c r="G53"/>
  <c r="J53" s="1"/>
  <c r="P53" s="1"/>
  <c r="G52"/>
  <c r="J52" s="1"/>
  <c r="V51"/>
  <c r="G51"/>
  <c r="J51" s="1"/>
  <c r="G50"/>
  <c r="J50" s="1"/>
  <c r="L50" s="1"/>
  <c r="O50" s="1"/>
  <c r="L49"/>
  <c r="O49" s="1"/>
  <c r="J49"/>
  <c r="P49" s="1"/>
  <c r="G49"/>
  <c r="V48"/>
  <c r="G48"/>
  <c r="J48" s="1"/>
  <c r="V47"/>
  <c r="G47"/>
  <c r="J47" s="1"/>
  <c r="P47" s="1"/>
  <c r="J46"/>
  <c r="P46" s="1"/>
  <c r="G46"/>
  <c r="G45"/>
  <c r="J45" s="1"/>
  <c r="R44"/>
  <c r="J44"/>
  <c r="P44" s="1"/>
  <c r="G44"/>
  <c r="L43"/>
  <c r="O43" s="1"/>
  <c r="J43"/>
  <c r="P43" s="1"/>
  <c r="G43"/>
  <c r="G42"/>
  <c r="J42" s="1"/>
  <c r="V41"/>
  <c r="J41"/>
  <c r="P41" s="1"/>
  <c r="G41"/>
  <c r="J40"/>
  <c r="P40" s="1"/>
  <c r="G40"/>
  <c r="V39"/>
  <c r="J39"/>
  <c r="L39" s="1"/>
  <c r="O39" s="1"/>
  <c r="G39"/>
  <c r="V38"/>
  <c r="J38"/>
  <c r="P38" s="1"/>
  <c r="G38"/>
  <c r="G37"/>
  <c r="J37" s="1"/>
  <c r="J36"/>
  <c r="P36" s="1"/>
  <c r="G36"/>
  <c r="V35"/>
  <c r="J35"/>
  <c r="P35" s="1"/>
  <c r="G35"/>
  <c r="G34"/>
  <c r="J34" s="1"/>
  <c r="J33"/>
  <c r="P33" s="1"/>
  <c r="G33"/>
  <c r="G32"/>
  <c r="J32" s="1"/>
  <c r="P32" s="1"/>
  <c r="J31"/>
  <c r="P31" s="1"/>
  <c r="G31"/>
  <c r="G30"/>
  <c r="J30" s="1"/>
  <c r="G29"/>
  <c r="J29" s="1"/>
  <c r="L29" s="1"/>
  <c r="O29" s="1"/>
  <c r="E98"/>
  <c r="J28"/>
  <c r="P28" s="1"/>
  <c r="G28"/>
  <c r="G27"/>
  <c r="J27" s="1"/>
  <c r="G26"/>
  <c r="J26" s="1"/>
  <c r="P26" s="1"/>
  <c r="G25"/>
  <c r="J25" s="1"/>
  <c r="G24"/>
  <c r="J24" s="1"/>
  <c r="G23"/>
  <c r="J23" s="1"/>
  <c r="R22"/>
  <c r="G22"/>
  <c r="J22" s="1"/>
  <c r="G21"/>
  <c r="J21" s="1"/>
  <c r="G20"/>
  <c r="J20" s="1"/>
  <c r="J19"/>
  <c r="P19" s="1"/>
  <c r="G19"/>
  <c r="L18"/>
  <c r="O18" s="1"/>
  <c r="J18"/>
  <c r="P18" s="1"/>
  <c r="G18"/>
  <c r="J17"/>
  <c r="P17" s="1"/>
  <c r="G17"/>
  <c r="G16"/>
  <c r="J16" s="1"/>
  <c r="G15"/>
  <c r="J15" s="1"/>
  <c r="L15" s="1"/>
  <c r="O15" s="1"/>
  <c r="G14"/>
  <c r="J14" s="1"/>
  <c r="G13"/>
  <c r="J13" s="1"/>
  <c r="G12"/>
  <c r="J12" s="1"/>
  <c r="J11"/>
  <c r="P11" s="1"/>
  <c r="G11"/>
  <c r="J10"/>
  <c r="P10" s="1"/>
  <c r="G10"/>
  <c r="G9"/>
  <c r="J9" s="1"/>
  <c r="G8"/>
  <c r="J8" s="1"/>
  <c r="P8" s="1"/>
  <c r="J7"/>
  <c r="P7" s="1"/>
  <c r="G7"/>
  <c r="G6"/>
  <c r="J6" s="1"/>
  <c r="E29" i="882"/>
  <c r="L49" i="885" l="1"/>
  <c r="O49" s="1"/>
  <c r="L14"/>
  <c r="O14" s="1"/>
  <c r="P22"/>
  <c r="L22"/>
  <c r="O22" s="1"/>
  <c r="P28"/>
  <c r="L28"/>
  <c r="O28" s="1"/>
  <c r="P63"/>
  <c r="L63"/>
  <c r="O63" s="1"/>
  <c r="P65"/>
  <c r="L65"/>
  <c r="O65" s="1"/>
  <c r="P8"/>
  <c r="L8"/>
  <c r="O8" s="1"/>
  <c r="P36"/>
  <c r="L36"/>
  <c r="O36" s="1"/>
  <c r="P39"/>
  <c r="L39"/>
  <c r="O39" s="1"/>
  <c r="P50"/>
  <c r="L50"/>
  <c r="O50" s="1"/>
  <c r="P7"/>
  <c r="L7"/>
  <c r="O7" s="1"/>
  <c r="P15"/>
  <c r="L15"/>
  <c r="O15" s="1"/>
  <c r="P29"/>
  <c r="L29"/>
  <c r="O29" s="1"/>
  <c r="P41"/>
  <c r="L41"/>
  <c r="O41" s="1"/>
  <c r="P44"/>
  <c r="L44"/>
  <c r="O44" s="1"/>
  <c r="P56"/>
  <c r="L56"/>
  <c r="O56" s="1"/>
  <c r="P66"/>
  <c r="L66"/>
  <c r="O66" s="1"/>
  <c r="P82"/>
  <c r="L82"/>
  <c r="O82" s="1"/>
  <c r="L94"/>
  <c r="O94" s="1"/>
  <c r="L96"/>
  <c r="O96" s="1"/>
  <c r="L47"/>
  <c r="O47" s="1"/>
  <c r="L58"/>
  <c r="O58" s="1"/>
  <c r="P18"/>
  <c r="L18"/>
  <c r="O18" s="1"/>
  <c r="P52"/>
  <c r="L52"/>
  <c r="O52" s="1"/>
  <c r="P11"/>
  <c r="L11"/>
  <c r="O11" s="1"/>
  <c r="P69"/>
  <c r="L69"/>
  <c r="O69" s="1"/>
  <c r="P19"/>
  <c r="L19"/>
  <c r="O19" s="1"/>
  <c r="P53"/>
  <c r="L53"/>
  <c r="O53" s="1"/>
  <c r="J98"/>
  <c r="L24"/>
  <c r="O24" s="1"/>
  <c r="L25"/>
  <c r="O25" s="1"/>
  <c r="L32"/>
  <c r="O32" s="1"/>
  <c r="L33"/>
  <c r="O33" s="1"/>
  <c r="L61"/>
  <c r="O61" s="1"/>
  <c r="L73"/>
  <c r="O73" s="1"/>
  <c r="L79"/>
  <c r="O79" s="1"/>
  <c r="L84"/>
  <c r="O84" s="1"/>
  <c r="L85"/>
  <c r="O85" s="1"/>
  <c r="L86"/>
  <c r="O86" s="1"/>
  <c r="L89"/>
  <c r="O89" s="1"/>
  <c r="L91"/>
  <c r="O91" s="1"/>
  <c r="L92"/>
  <c r="O92" s="1"/>
  <c r="L13"/>
  <c r="O13" s="1"/>
  <c r="P13"/>
  <c r="L40"/>
  <c r="O40" s="1"/>
  <c r="P40"/>
  <c r="L43"/>
  <c r="O43" s="1"/>
  <c r="P43"/>
  <c r="L60"/>
  <c r="O60" s="1"/>
  <c r="P60"/>
  <c r="L71"/>
  <c r="O71" s="1"/>
  <c r="P71"/>
  <c r="P76"/>
  <c r="L76"/>
  <c r="O76" s="1"/>
  <c r="L75"/>
  <c r="O75" s="1"/>
  <c r="P75"/>
  <c r="L81"/>
  <c r="O81" s="1"/>
  <c r="P81"/>
  <c r="L10"/>
  <c r="O10" s="1"/>
  <c r="P10"/>
  <c r="L17"/>
  <c r="O17" s="1"/>
  <c r="P17"/>
  <c r="L38"/>
  <c r="O38" s="1"/>
  <c r="P38"/>
  <c r="P21"/>
  <c r="L21"/>
  <c r="O21" s="1"/>
  <c r="L46"/>
  <c r="O46" s="1"/>
  <c r="P46"/>
  <c r="L55"/>
  <c r="O55" s="1"/>
  <c r="P55"/>
  <c r="L78"/>
  <c r="O78" s="1"/>
  <c r="P78"/>
  <c r="L27"/>
  <c r="O27" s="1"/>
  <c r="P27"/>
  <c r="L35"/>
  <c r="O35" s="1"/>
  <c r="P35"/>
  <c r="L23"/>
  <c r="O23" s="1"/>
  <c r="P23"/>
  <c r="L31"/>
  <c r="O31" s="1"/>
  <c r="P31"/>
  <c r="L68"/>
  <c r="O68" s="1"/>
  <c r="P68"/>
  <c r="P72"/>
  <c r="L72"/>
  <c r="O72" s="1"/>
  <c r="L83"/>
  <c r="O83" s="1"/>
  <c r="P83"/>
  <c r="G98"/>
  <c r="E98"/>
  <c r="P9"/>
  <c r="P16"/>
  <c r="P20"/>
  <c r="P26"/>
  <c r="P30"/>
  <c r="P37"/>
  <c r="P57"/>
  <c r="P59"/>
  <c r="P62"/>
  <c r="P67"/>
  <c r="P70"/>
  <c r="P74"/>
  <c r="P80"/>
  <c r="P88"/>
  <c r="P90"/>
  <c r="P93"/>
  <c r="P95"/>
  <c r="P6"/>
  <c r="P12"/>
  <c r="P34"/>
  <c r="P42"/>
  <c r="P45"/>
  <c r="P48"/>
  <c r="P51"/>
  <c r="P54"/>
  <c r="P64"/>
  <c r="P77"/>
  <c r="L6"/>
  <c r="G21" i="884"/>
  <c r="J21" s="1"/>
  <c r="P21" s="1"/>
  <c r="L14"/>
  <c r="O14" s="1"/>
  <c r="L47"/>
  <c r="O47" s="1"/>
  <c r="L56"/>
  <c r="O56" s="1"/>
  <c r="P49"/>
  <c r="L49"/>
  <c r="O49" s="1"/>
  <c r="P41"/>
  <c r="L41"/>
  <c r="O41" s="1"/>
  <c r="P50"/>
  <c r="L50"/>
  <c r="O50" s="1"/>
  <c r="P72"/>
  <c r="L72"/>
  <c r="O72" s="1"/>
  <c r="P58"/>
  <c r="L58"/>
  <c r="O58" s="1"/>
  <c r="L13"/>
  <c r="O13" s="1"/>
  <c r="L22"/>
  <c r="O22" s="1"/>
  <c r="L36"/>
  <c r="O36" s="1"/>
  <c r="L44"/>
  <c r="O44" s="1"/>
  <c r="L73"/>
  <c r="O73" s="1"/>
  <c r="L89"/>
  <c r="O89" s="1"/>
  <c r="L91"/>
  <c r="O91" s="1"/>
  <c r="L92"/>
  <c r="O92" s="1"/>
  <c r="L84"/>
  <c r="O84" s="1"/>
  <c r="L85"/>
  <c r="O85" s="1"/>
  <c r="P39"/>
  <c r="L39"/>
  <c r="O39" s="1"/>
  <c r="P52"/>
  <c r="L52"/>
  <c r="O52" s="1"/>
  <c r="P79"/>
  <c r="L79"/>
  <c r="O79" s="1"/>
  <c r="P82"/>
  <c r="L82"/>
  <c r="O82" s="1"/>
  <c r="P18"/>
  <c r="L18"/>
  <c r="O18" s="1"/>
  <c r="P29"/>
  <c r="L29"/>
  <c r="O29" s="1"/>
  <c r="P66"/>
  <c r="L66"/>
  <c r="O66" s="1"/>
  <c r="P69"/>
  <c r="L69"/>
  <c r="O69" s="1"/>
  <c r="P76"/>
  <c r="L76"/>
  <c r="O76" s="1"/>
  <c r="P7"/>
  <c r="L7"/>
  <c r="O7" s="1"/>
  <c r="P17"/>
  <c r="L17"/>
  <c r="O17" s="1"/>
  <c r="P28"/>
  <c r="L28"/>
  <c r="O28" s="1"/>
  <c r="P65"/>
  <c r="L65"/>
  <c r="O65" s="1"/>
  <c r="P53"/>
  <c r="L53"/>
  <c r="O53" s="1"/>
  <c r="P63"/>
  <c r="L63"/>
  <c r="O63" s="1"/>
  <c r="L10"/>
  <c r="O10" s="1"/>
  <c r="Q10" s="1"/>
  <c r="L24"/>
  <c r="O24" s="1"/>
  <c r="L25"/>
  <c r="O25" s="1"/>
  <c r="L32"/>
  <c r="O32" s="1"/>
  <c r="L33"/>
  <c r="O33" s="1"/>
  <c r="L61"/>
  <c r="O61" s="1"/>
  <c r="L87"/>
  <c r="O87" s="1"/>
  <c r="L94"/>
  <c r="O94" s="1"/>
  <c r="L96"/>
  <c r="O96" s="1"/>
  <c r="L97"/>
  <c r="O97" s="1"/>
  <c r="L38"/>
  <c r="O38" s="1"/>
  <c r="P38"/>
  <c r="L75"/>
  <c r="O75" s="1"/>
  <c r="P75"/>
  <c r="L78"/>
  <c r="O78" s="1"/>
  <c r="P78"/>
  <c r="L9"/>
  <c r="O9" s="1"/>
  <c r="P9"/>
  <c r="L31"/>
  <c r="O31" s="1"/>
  <c r="P31"/>
  <c r="L68"/>
  <c r="O68" s="1"/>
  <c r="P68"/>
  <c r="L81"/>
  <c r="O81" s="1"/>
  <c r="P81"/>
  <c r="L12"/>
  <c r="O12" s="1"/>
  <c r="P12"/>
  <c r="L20"/>
  <c r="O20" s="1"/>
  <c r="P20"/>
  <c r="L43"/>
  <c r="O43" s="1"/>
  <c r="P43"/>
  <c r="L46"/>
  <c r="O46" s="1"/>
  <c r="P46"/>
  <c r="L55"/>
  <c r="O55" s="1"/>
  <c r="P55"/>
  <c r="L60"/>
  <c r="O60" s="1"/>
  <c r="P60"/>
  <c r="J98"/>
  <c r="L6"/>
  <c r="P6"/>
  <c r="L27"/>
  <c r="O27" s="1"/>
  <c r="P27"/>
  <c r="L35"/>
  <c r="O35" s="1"/>
  <c r="P35"/>
  <c r="L83"/>
  <c r="O83" s="1"/>
  <c r="P83"/>
  <c r="L16"/>
  <c r="O16" s="1"/>
  <c r="P16"/>
  <c r="L23"/>
  <c r="O23" s="1"/>
  <c r="P23"/>
  <c r="L40"/>
  <c r="O40" s="1"/>
  <c r="P40"/>
  <c r="L71"/>
  <c r="O71" s="1"/>
  <c r="P71"/>
  <c r="P19"/>
  <c r="P26"/>
  <c r="P30"/>
  <c r="P34"/>
  <c r="P37"/>
  <c r="P42"/>
  <c r="P45"/>
  <c r="P48"/>
  <c r="P51"/>
  <c r="P54"/>
  <c r="P57"/>
  <c r="P59"/>
  <c r="P62"/>
  <c r="P64"/>
  <c r="P67"/>
  <c r="P70"/>
  <c r="P74"/>
  <c r="P77"/>
  <c r="P80"/>
  <c r="P88"/>
  <c r="P90"/>
  <c r="P93"/>
  <c r="P95"/>
  <c r="P8"/>
  <c r="P11"/>
  <c r="P15"/>
  <c r="L56" i="883"/>
  <c r="O56" s="1"/>
  <c r="L35"/>
  <c r="O35" s="1"/>
  <c r="L38"/>
  <c r="O38" s="1"/>
  <c r="L40"/>
  <c r="O40" s="1"/>
  <c r="L41"/>
  <c r="O41" s="1"/>
  <c r="L44"/>
  <c r="O44" s="1"/>
  <c r="L71"/>
  <c r="O71" s="1"/>
  <c r="L84"/>
  <c r="O84" s="1"/>
  <c r="P25"/>
  <c r="L25"/>
  <c r="O25" s="1"/>
  <c r="P24"/>
  <c r="L24"/>
  <c r="O24" s="1"/>
  <c r="P63"/>
  <c r="L63"/>
  <c r="O63" s="1"/>
  <c r="P72"/>
  <c r="L72"/>
  <c r="O72" s="1"/>
  <c r="L10"/>
  <c r="O10" s="1"/>
  <c r="Q10" s="1"/>
  <c r="L17"/>
  <c r="O17" s="1"/>
  <c r="L55"/>
  <c r="O55" s="1"/>
  <c r="L60"/>
  <c r="O60" s="1"/>
  <c r="L91"/>
  <c r="O91" s="1"/>
  <c r="L94"/>
  <c r="O94" s="1"/>
  <c r="L95"/>
  <c r="O95" s="1"/>
  <c r="P58"/>
  <c r="L58"/>
  <c r="O58" s="1"/>
  <c r="P14"/>
  <c r="L14"/>
  <c r="O14" s="1"/>
  <c r="P52"/>
  <c r="L52"/>
  <c r="O52" s="1"/>
  <c r="P76"/>
  <c r="L76"/>
  <c r="O76" s="1"/>
  <c r="P13"/>
  <c r="L13"/>
  <c r="O13" s="1"/>
  <c r="P65"/>
  <c r="L65"/>
  <c r="O65" s="1"/>
  <c r="P75"/>
  <c r="L75"/>
  <c r="O75" s="1"/>
  <c r="P22"/>
  <c r="L22"/>
  <c r="O22" s="1"/>
  <c r="P21"/>
  <c r="L21"/>
  <c r="O21" s="1"/>
  <c r="P93"/>
  <c r="L7"/>
  <c r="O7" s="1"/>
  <c r="L28"/>
  <c r="O28" s="1"/>
  <c r="L31"/>
  <c r="O31" s="1"/>
  <c r="L32"/>
  <c r="O32" s="1"/>
  <c r="L46"/>
  <c r="O46" s="1"/>
  <c r="L47"/>
  <c r="O47" s="1"/>
  <c r="L86"/>
  <c r="O86" s="1"/>
  <c r="L96"/>
  <c r="O96" s="1"/>
  <c r="L23"/>
  <c r="O23" s="1"/>
  <c r="P23"/>
  <c r="L34"/>
  <c r="O34" s="1"/>
  <c r="P34"/>
  <c r="L37"/>
  <c r="O37" s="1"/>
  <c r="P37"/>
  <c r="L59"/>
  <c r="O59" s="1"/>
  <c r="P59"/>
  <c r="L62"/>
  <c r="O62" s="1"/>
  <c r="P62"/>
  <c r="L77"/>
  <c r="O77" s="1"/>
  <c r="P77"/>
  <c r="L80"/>
  <c r="O80" s="1"/>
  <c r="P80"/>
  <c r="P12"/>
  <c r="L12"/>
  <c r="O12" s="1"/>
  <c r="L20"/>
  <c r="O20" s="1"/>
  <c r="P20"/>
  <c r="L48"/>
  <c r="O48" s="1"/>
  <c r="P48"/>
  <c r="L74"/>
  <c r="O74" s="1"/>
  <c r="P74"/>
  <c r="J98"/>
  <c r="L6"/>
  <c r="P6"/>
  <c r="L27"/>
  <c r="O27" s="1"/>
  <c r="P27"/>
  <c r="L30"/>
  <c r="O30" s="1"/>
  <c r="P30"/>
  <c r="L45"/>
  <c r="O45" s="1"/>
  <c r="P45"/>
  <c r="L51"/>
  <c r="O51" s="1"/>
  <c r="P51"/>
  <c r="L57"/>
  <c r="O57" s="1"/>
  <c r="P57"/>
  <c r="L64"/>
  <c r="O64" s="1"/>
  <c r="P64"/>
  <c r="L16"/>
  <c r="O16" s="1"/>
  <c r="P16"/>
  <c r="L42"/>
  <c r="O42" s="1"/>
  <c r="P42"/>
  <c r="L54"/>
  <c r="O54" s="1"/>
  <c r="P54"/>
  <c r="L67"/>
  <c r="O67" s="1"/>
  <c r="P67"/>
  <c r="L70"/>
  <c r="O70" s="1"/>
  <c r="P70"/>
  <c r="L9"/>
  <c r="O9" s="1"/>
  <c r="P9"/>
  <c r="P15"/>
  <c r="P29"/>
  <c r="P39"/>
  <c r="P50"/>
  <c r="P61"/>
  <c r="P69"/>
  <c r="P79"/>
  <c r="P87"/>
  <c r="P92"/>
  <c r="P97"/>
  <c r="G98"/>
  <c r="L8"/>
  <c r="O8" s="1"/>
  <c r="L11"/>
  <c r="O11" s="1"/>
  <c r="L19"/>
  <c r="O19" s="1"/>
  <c r="L26"/>
  <c r="O26" s="1"/>
  <c r="L33"/>
  <c r="O33" s="1"/>
  <c r="L36"/>
  <c r="O36" s="1"/>
  <c r="L53"/>
  <c r="O53" s="1"/>
  <c r="L66"/>
  <c r="O66" s="1"/>
  <c r="L73"/>
  <c r="O73" s="1"/>
  <c r="L82"/>
  <c r="O82" s="1"/>
  <c r="L85"/>
  <c r="O85" s="1"/>
  <c r="M98" i="882"/>
  <c r="K98"/>
  <c r="I98"/>
  <c r="H98"/>
  <c r="F98"/>
  <c r="E98"/>
  <c r="D98"/>
  <c r="J97"/>
  <c r="P97" s="1"/>
  <c r="G97"/>
  <c r="J96"/>
  <c r="L96" s="1"/>
  <c r="O96" s="1"/>
  <c r="G96"/>
  <c r="V95"/>
  <c r="J95"/>
  <c r="L95" s="1"/>
  <c r="O95" s="1"/>
  <c r="G95"/>
  <c r="V94"/>
  <c r="L94"/>
  <c r="O94" s="1"/>
  <c r="J94"/>
  <c r="P94" s="1"/>
  <c r="G94"/>
  <c r="V93"/>
  <c r="J93"/>
  <c r="L93" s="1"/>
  <c r="O93" s="1"/>
  <c r="G93"/>
  <c r="L92"/>
  <c r="O92" s="1"/>
  <c r="J92"/>
  <c r="P92" s="1"/>
  <c r="G92"/>
  <c r="J91"/>
  <c r="L91" s="1"/>
  <c r="O91" s="1"/>
  <c r="G91"/>
  <c r="V90"/>
  <c r="J90"/>
  <c r="L90" s="1"/>
  <c r="O90" s="1"/>
  <c r="G90"/>
  <c r="V89"/>
  <c r="L89"/>
  <c r="O89" s="1"/>
  <c r="J89"/>
  <c r="P89" s="1"/>
  <c r="G89"/>
  <c r="V88"/>
  <c r="J88"/>
  <c r="L88" s="1"/>
  <c r="O88" s="1"/>
  <c r="G88"/>
  <c r="L87"/>
  <c r="O87" s="1"/>
  <c r="J87"/>
  <c r="P87" s="1"/>
  <c r="G87"/>
  <c r="V86"/>
  <c r="P86"/>
  <c r="J86"/>
  <c r="L86" s="1"/>
  <c r="O86" s="1"/>
  <c r="G86"/>
  <c r="V85"/>
  <c r="L85"/>
  <c r="O85" s="1"/>
  <c r="J85"/>
  <c r="P85" s="1"/>
  <c r="G85"/>
  <c r="J84"/>
  <c r="L84" s="1"/>
  <c r="O84" s="1"/>
  <c r="G84"/>
  <c r="G83"/>
  <c r="J83" s="1"/>
  <c r="R82"/>
  <c r="J82"/>
  <c r="P82" s="1"/>
  <c r="G82"/>
  <c r="R81"/>
  <c r="G81"/>
  <c r="J81" s="1"/>
  <c r="J80"/>
  <c r="L80" s="1"/>
  <c r="O80" s="1"/>
  <c r="G80"/>
  <c r="J79"/>
  <c r="P79" s="1"/>
  <c r="G79"/>
  <c r="V78"/>
  <c r="G78"/>
  <c r="J78" s="1"/>
  <c r="J77"/>
  <c r="L77" s="1"/>
  <c r="O77" s="1"/>
  <c r="G77"/>
  <c r="V76"/>
  <c r="G76"/>
  <c r="J76" s="1"/>
  <c r="G75"/>
  <c r="J75" s="1"/>
  <c r="G74"/>
  <c r="J74" s="1"/>
  <c r="L74" s="1"/>
  <c r="O74" s="1"/>
  <c r="J73"/>
  <c r="P73" s="1"/>
  <c r="G73"/>
  <c r="G72"/>
  <c r="J72" s="1"/>
  <c r="G71"/>
  <c r="J71" s="1"/>
  <c r="J70"/>
  <c r="L70" s="1"/>
  <c r="O70" s="1"/>
  <c r="G70"/>
  <c r="G69"/>
  <c r="J69" s="1"/>
  <c r="V68"/>
  <c r="G68"/>
  <c r="J68" s="1"/>
  <c r="G67"/>
  <c r="J67" s="1"/>
  <c r="L67" s="1"/>
  <c r="O67" s="1"/>
  <c r="J66"/>
  <c r="P66" s="1"/>
  <c r="G66"/>
  <c r="G65"/>
  <c r="J65" s="1"/>
  <c r="V64"/>
  <c r="J64"/>
  <c r="L64" s="1"/>
  <c r="O64" s="1"/>
  <c r="G64"/>
  <c r="V63"/>
  <c r="G63"/>
  <c r="J63" s="1"/>
  <c r="R62"/>
  <c r="G62"/>
  <c r="J62" s="1"/>
  <c r="L62" s="1"/>
  <c r="O62" s="1"/>
  <c r="G61"/>
  <c r="J61" s="1"/>
  <c r="V60"/>
  <c r="G60"/>
  <c r="J60" s="1"/>
  <c r="G59"/>
  <c r="J59" s="1"/>
  <c r="L59" s="1"/>
  <c r="O59" s="1"/>
  <c r="R58"/>
  <c r="G58"/>
  <c r="J58" s="1"/>
  <c r="V57"/>
  <c r="G57"/>
  <c r="J57" s="1"/>
  <c r="L57" s="1"/>
  <c r="O57" s="1"/>
  <c r="V56"/>
  <c r="G56"/>
  <c r="J56" s="1"/>
  <c r="G55"/>
  <c r="J55" s="1"/>
  <c r="J54"/>
  <c r="L54" s="1"/>
  <c r="O54" s="1"/>
  <c r="G54"/>
  <c r="G53"/>
  <c r="J53" s="1"/>
  <c r="G52"/>
  <c r="J52" s="1"/>
  <c r="V51"/>
  <c r="G51"/>
  <c r="J51" s="1"/>
  <c r="L51" s="1"/>
  <c r="O51" s="1"/>
  <c r="G50"/>
  <c r="J50" s="1"/>
  <c r="G49"/>
  <c r="J49" s="1"/>
  <c r="V48"/>
  <c r="G48"/>
  <c r="J48" s="1"/>
  <c r="L48" s="1"/>
  <c r="O48" s="1"/>
  <c r="V47"/>
  <c r="G47"/>
  <c r="J47" s="1"/>
  <c r="G46"/>
  <c r="J46" s="1"/>
  <c r="G45"/>
  <c r="J45" s="1"/>
  <c r="L45" s="1"/>
  <c r="O45" s="1"/>
  <c r="R44"/>
  <c r="G44"/>
  <c r="J44" s="1"/>
  <c r="G43"/>
  <c r="J43" s="1"/>
  <c r="J42"/>
  <c r="L42" s="1"/>
  <c r="O42" s="1"/>
  <c r="G42"/>
  <c r="V41"/>
  <c r="G41"/>
  <c r="J41" s="1"/>
  <c r="G40"/>
  <c r="J40" s="1"/>
  <c r="V39"/>
  <c r="G39"/>
  <c r="J39" s="1"/>
  <c r="V38"/>
  <c r="G38"/>
  <c r="J38" s="1"/>
  <c r="G37"/>
  <c r="J37" s="1"/>
  <c r="L37" s="1"/>
  <c r="O37" s="1"/>
  <c r="G36"/>
  <c r="J36" s="1"/>
  <c r="V35"/>
  <c r="G35"/>
  <c r="J35" s="1"/>
  <c r="G34"/>
  <c r="J34" s="1"/>
  <c r="L34" s="1"/>
  <c r="O34" s="1"/>
  <c r="L33"/>
  <c r="O33" s="1"/>
  <c r="J33"/>
  <c r="P33" s="1"/>
  <c r="G33"/>
  <c r="G32"/>
  <c r="J32" s="1"/>
  <c r="G31"/>
  <c r="J31" s="1"/>
  <c r="J30"/>
  <c r="L30" s="1"/>
  <c r="O30" s="1"/>
  <c r="G30"/>
  <c r="J29"/>
  <c r="P29" s="1"/>
  <c r="G29"/>
  <c r="G28"/>
  <c r="J28" s="1"/>
  <c r="G27"/>
  <c r="J27" s="1"/>
  <c r="J26"/>
  <c r="L26" s="1"/>
  <c r="O26" s="1"/>
  <c r="G26"/>
  <c r="G25"/>
  <c r="J25" s="1"/>
  <c r="G24"/>
  <c r="J24" s="1"/>
  <c r="G23"/>
  <c r="J23" s="1"/>
  <c r="R22"/>
  <c r="G22"/>
  <c r="J22" s="1"/>
  <c r="G21"/>
  <c r="J21" s="1"/>
  <c r="G20"/>
  <c r="J20" s="1"/>
  <c r="G19"/>
  <c r="J19" s="1"/>
  <c r="L19" s="1"/>
  <c r="O19" s="1"/>
  <c r="J18"/>
  <c r="P18" s="1"/>
  <c r="G18"/>
  <c r="G17"/>
  <c r="J17" s="1"/>
  <c r="G16"/>
  <c r="J16" s="1"/>
  <c r="J15"/>
  <c r="L15" s="1"/>
  <c r="O15" s="1"/>
  <c r="G15"/>
  <c r="G14"/>
  <c r="J14" s="1"/>
  <c r="G13"/>
  <c r="J13" s="1"/>
  <c r="G12"/>
  <c r="J12" s="1"/>
  <c r="G11"/>
  <c r="J11" s="1"/>
  <c r="L11" s="1"/>
  <c r="O11" s="1"/>
  <c r="G10"/>
  <c r="J10" s="1"/>
  <c r="G9"/>
  <c r="J9" s="1"/>
  <c r="G8"/>
  <c r="J8" s="1"/>
  <c r="L8" s="1"/>
  <c r="O8" s="1"/>
  <c r="J7"/>
  <c r="P7" s="1"/>
  <c r="G7"/>
  <c r="G6"/>
  <c r="J6" s="1"/>
  <c r="M98" i="881"/>
  <c r="K98"/>
  <c r="I98"/>
  <c r="F98"/>
  <c r="E98"/>
  <c r="D98"/>
  <c r="L97"/>
  <c r="O97" s="1"/>
  <c r="J97"/>
  <c r="P97" s="1"/>
  <c r="G97"/>
  <c r="J96"/>
  <c r="L96" s="1"/>
  <c r="O96" s="1"/>
  <c r="G96"/>
  <c r="V95"/>
  <c r="J95"/>
  <c r="L95" s="1"/>
  <c r="O95" s="1"/>
  <c r="G95"/>
  <c r="V94"/>
  <c r="J94"/>
  <c r="P94" s="1"/>
  <c r="G94"/>
  <c r="V93"/>
  <c r="J93"/>
  <c r="L93" s="1"/>
  <c r="O93" s="1"/>
  <c r="G93"/>
  <c r="J92"/>
  <c r="P92" s="1"/>
  <c r="G92"/>
  <c r="J91"/>
  <c r="L91" s="1"/>
  <c r="O91" s="1"/>
  <c r="G91"/>
  <c r="V90"/>
  <c r="J90"/>
  <c r="L90" s="1"/>
  <c r="O90" s="1"/>
  <c r="G90"/>
  <c r="V89"/>
  <c r="L89"/>
  <c r="O89" s="1"/>
  <c r="J89"/>
  <c r="P89" s="1"/>
  <c r="G89"/>
  <c r="V88"/>
  <c r="J88"/>
  <c r="L88" s="1"/>
  <c r="O88" s="1"/>
  <c r="G88"/>
  <c r="J87"/>
  <c r="P87" s="1"/>
  <c r="G87"/>
  <c r="V86"/>
  <c r="J86"/>
  <c r="L86" s="1"/>
  <c r="O86" s="1"/>
  <c r="G86"/>
  <c r="V85"/>
  <c r="J85"/>
  <c r="P85" s="1"/>
  <c r="G85"/>
  <c r="J84"/>
  <c r="L84" s="1"/>
  <c r="O84" s="1"/>
  <c r="G84"/>
  <c r="G83"/>
  <c r="J83" s="1"/>
  <c r="R82"/>
  <c r="G82"/>
  <c r="J82" s="1"/>
  <c r="R81"/>
  <c r="G81"/>
  <c r="J81" s="1"/>
  <c r="G80"/>
  <c r="J80" s="1"/>
  <c r="L80" s="1"/>
  <c r="O80" s="1"/>
  <c r="J79"/>
  <c r="P79" s="1"/>
  <c r="G79"/>
  <c r="V78"/>
  <c r="G78"/>
  <c r="J78" s="1"/>
  <c r="J77"/>
  <c r="L77" s="1"/>
  <c r="O77" s="1"/>
  <c r="G77"/>
  <c r="V76"/>
  <c r="G76"/>
  <c r="J76" s="1"/>
  <c r="G75"/>
  <c r="J75" s="1"/>
  <c r="J74"/>
  <c r="L74" s="1"/>
  <c r="O74" s="1"/>
  <c r="G74"/>
  <c r="J73"/>
  <c r="P73" s="1"/>
  <c r="G73"/>
  <c r="G72"/>
  <c r="J72" s="1"/>
  <c r="G71"/>
  <c r="J71" s="1"/>
  <c r="J70"/>
  <c r="L70" s="1"/>
  <c r="O70" s="1"/>
  <c r="G70"/>
  <c r="G69"/>
  <c r="J69" s="1"/>
  <c r="V68"/>
  <c r="G68"/>
  <c r="J68" s="1"/>
  <c r="G67"/>
  <c r="J67" s="1"/>
  <c r="L67" s="1"/>
  <c r="O67" s="1"/>
  <c r="G66"/>
  <c r="J66" s="1"/>
  <c r="G65"/>
  <c r="J65" s="1"/>
  <c r="V64"/>
  <c r="G64"/>
  <c r="J64" s="1"/>
  <c r="L64" s="1"/>
  <c r="O64" s="1"/>
  <c r="V63"/>
  <c r="G63"/>
  <c r="J63" s="1"/>
  <c r="R62"/>
  <c r="G62"/>
  <c r="J62" s="1"/>
  <c r="L62" s="1"/>
  <c r="O62" s="1"/>
  <c r="G61"/>
  <c r="J61" s="1"/>
  <c r="V60"/>
  <c r="G60"/>
  <c r="J60" s="1"/>
  <c r="G59"/>
  <c r="J59" s="1"/>
  <c r="L59" s="1"/>
  <c r="O59" s="1"/>
  <c r="R58"/>
  <c r="G58"/>
  <c r="J58" s="1"/>
  <c r="V57"/>
  <c r="G57"/>
  <c r="J57" s="1"/>
  <c r="L57" s="1"/>
  <c r="O57" s="1"/>
  <c r="V56"/>
  <c r="G56"/>
  <c r="J56" s="1"/>
  <c r="G55"/>
  <c r="J55" s="1"/>
  <c r="J54"/>
  <c r="L54" s="1"/>
  <c r="O54" s="1"/>
  <c r="G54"/>
  <c r="G53"/>
  <c r="J53" s="1"/>
  <c r="G52"/>
  <c r="J52" s="1"/>
  <c r="V51"/>
  <c r="G51"/>
  <c r="J51" s="1"/>
  <c r="L51" s="1"/>
  <c r="O51" s="1"/>
  <c r="G50"/>
  <c r="J50" s="1"/>
  <c r="G49"/>
  <c r="J49" s="1"/>
  <c r="V48"/>
  <c r="G48"/>
  <c r="J48" s="1"/>
  <c r="L48" s="1"/>
  <c r="O48" s="1"/>
  <c r="V47"/>
  <c r="G47"/>
  <c r="J47" s="1"/>
  <c r="G46"/>
  <c r="J46" s="1"/>
  <c r="G45"/>
  <c r="J45" s="1"/>
  <c r="L45" s="1"/>
  <c r="O45" s="1"/>
  <c r="R44"/>
  <c r="G44"/>
  <c r="J44" s="1"/>
  <c r="G43"/>
  <c r="J43" s="1"/>
  <c r="J42"/>
  <c r="L42" s="1"/>
  <c r="O42" s="1"/>
  <c r="G42"/>
  <c r="V41"/>
  <c r="G41"/>
  <c r="J41" s="1"/>
  <c r="G40"/>
  <c r="J40" s="1"/>
  <c r="V39"/>
  <c r="G39"/>
  <c r="J39" s="1"/>
  <c r="V38"/>
  <c r="G38"/>
  <c r="J38" s="1"/>
  <c r="G37"/>
  <c r="J37" s="1"/>
  <c r="L37" s="1"/>
  <c r="O37" s="1"/>
  <c r="G36"/>
  <c r="J36" s="1"/>
  <c r="V35"/>
  <c r="G35"/>
  <c r="J35" s="1"/>
  <c r="G34"/>
  <c r="J34" s="1"/>
  <c r="L34" s="1"/>
  <c r="O34" s="1"/>
  <c r="J33"/>
  <c r="P33" s="1"/>
  <c r="G33"/>
  <c r="G32"/>
  <c r="J32" s="1"/>
  <c r="G31"/>
  <c r="J31" s="1"/>
  <c r="J30"/>
  <c r="L30" s="1"/>
  <c r="O30" s="1"/>
  <c r="G30"/>
  <c r="G29"/>
  <c r="J29" s="1"/>
  <c r="P29" s="1"/>
  <c r="G28"/>
  <c r="J28" s="1"/>
  <c r="G27"/>
  <c r="J27" s="1"/>
  <c r="H98"/>
  <c r="G26"/>
  <c r="J26" s="1"/>
  <c r="L26" s="1"/>
  <c r="O26" s="1"/>
  <c r="G25"/>
  <c r="J25" s="1"/>
  <c r="G24"/>
  <c r="J24" s="1"/>
  <c r="J23"/>
  <c r="L23" s="1"/>
  <c r="O23" s="1"/>
  <c r="G23"/>
  <c r="R22"/>
  <c r="G22"/>
  <c r="J22" s="1"/>
  <c r="G21"/>
  <c r="J21" s="1"/>
  <c r="G20"/>
  <c r="J20" s="1"/>
  <c r="L20" s="1"/>
  <c r="O20" s="1"/>
  <c r="G19"/>
  <c r="J19" s="1"/>
  <c r="G18"/>
  <c r="J18" s="1"/>
  <c r="G17"/>
  <c r="J17" s="1"/>
  <c r="G16"/>
  <c r="J16" s="1"/>
  <c r="L16" s="1"/>
  <c r="O16" s="1"/>
  <c r="J15"/>
  <c r="P15" s="1"/>
  <c r="G15"/>
  <c r="G14"/>
  <c r="J14" s="1"/>
  <c r="G13"/>
  <c r="J13" s="1"/>
  <c r="J12"/>
  <c r="L12" s="1"/>
  <c r="O12" s="1"/>
  <c r="G12"/>
  <c r="G11"/>
  <c r="J11" s="1"/>
  <c r="G10"/>
  <c r="J10" s="1"/>
  <c r="G9"/>
  <c r="J9" s="1"/>
  <c r="L9" s="1"/>
  <c r="O9" s="1"/>
  <c r="G8"/>
  <c r="J8" s="1"/>
  <c r="G7"/>
  <c r="J7" s="1"/>
  <c r="J6"/>
  <c r="G6"/>
  <c r="H26" i="880"/>
  <c r="E6"/>
  <c r="M98"/>
  <c r="K98"/>
  <c r="I98"/>
  <c r="F98"/>
  <c r="D98"/>
  <c r="J97"/>
  <c r="L97" s="1"/>
  <c r="O97" s="1"/>
  <c r="G97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J92"/>
  <c r="L92" s="1"/>
  <c r="O92" s="1"/>
  <c r="G92"/>
  <c r="J91"/>
  <c r="P91" s="1"/>
  <c r="G91"/>
  <c r="V90"/>
  <c r="J90"/>
  <c r="L90" s="1"/>
  <c r="O90" s="1"/>
  <c r="G90"/>
  <c r="V89"/>
  <c r="J89"/>
  <c r="P89" s="1"/>
  <c r="G89"/>
  <c r="V88"/>
  <c r="L88"/>
  <c r="O88" s="1"/>
  <c r="J88"/>
  <c r="P88" s="1"/>
  <c r="G88"/>
  <c r="J87"/>
  <c r="L87" s="1"/>
  <c r="O87" s="1"/>
  <c r="G87"/>
  <c r="V86"/>
  <c r="J86"/>
  <c r="P86" s="1"/>
  <c r="G86"/>
  <c r="V85"/>
  <c r="J85"/>
  <c r="L85" s="1"/>
  <c r="O85" s="1"/>
  <c r="G85"/>
  <c r="L84"/>
  <c r="O84" s="1"/>
  <c r="J84"/>
  <c r="P84" s="1"/>
  <c r="G84"/>
  <c r="G83"/>
  <c r="J83" s="1"/>
  <c r="R82"/>
  <c r="J82"/>
  <c r="L82" s="1"/>
  <c r="O82" s="1"/>
  <c r="G82"/>
  <c r="R81"/>
  <c r="G81"/>
  <c r="J81" s="1"/>
  <c r="G80"/>
  <c r="J80" s="1"/>
  <c r="G79"/>
  <c r="J79" s="1"/>
  <c r="L79" s="1"/>
  <c r="O79" s="1"/>
  <c r="V78"/>
  <c r="G78"/>
  <c r="J78" s="1"/>
  <c r="G77"/>
  <c r="J77" s="1"/>
  <c r="V76"/>
  <c r="G76"/>
  <c r="J76" s="1"/>
  <c r="G75"/>
  <c r="J75" s="1"/>
  <c r="G74"/>
  <c r="J74" s="1"/>
  <c r="G73"/>
  <c r="J73" s="1"/>
  <c r="L73" s="1"/>
  <c r="O73" s="1"/>
  <c r="J72"/>
  <c r="P72" s="1"/>
  <c r="G72"/>
  <c r="J71"/>
  <c r="P71" s="1"/>
  <c r="G71"/>
  <c r="G70"/>
  <c r="J70" s="1"/>
  <c r="J69"/>
  <c r="P69" s="1"/>
  <c r="G69"/>
  <c r="V68"/>
  <c r="J68"/>
  <c r="P68" s="1"/>
  <c r="G68"/>
  <c r="G67"/>
  <c r="J67" s="1"/>
  <c r="G66"/>
  <c r="J66" s="1"/>
  <c r="P66" s="1"/>
  <c r="G65"/>
  <c r="J65" s="1"/>
  <c r="V64"/>
  <c r="G64"/>
  <c r="J64" s="1"/>
  <c r="V63"/>
  <c r="L63"/>
  <c r="O63" s="1"/>
  <c r="J63"/>
  <c r="P63" s="1"/>
  <c r="G63"/>
  <c r="R62"/>
  <c r="G62"/>
  <c r="J62" s="1"/>
  <c r="J61"/>
  <c r="L61" s="1"/>
  <c r="O61" s="1"/>
  <c r="G61"/>
  <c r="V60"/>
  <c r="G60"/>
  <c r="J60" s="1"/>
  <c r="G59"/>
  <c r="J59" s="1"/>
  <c r="R58"/>
  <c r="G58"/>
  <c r="J58" s="1"/>
  <c r="V57"/>
  <c r="G57"/>
  <c r="J57" s="1"/>
  <c r="V56"/>
  <c r="L56"/>
  <c r="O56" s="1"/>
  <c r="J56"/>
  <c r="P56" s="1"/>
  <c r="G56"/>
  <c r="J55"/>
  <c r="P55" s="1"/>
  <c r="G55"/>
  <c r="G54"/>
  <c r="J54" s="1"/>
  <c r="G53"/>
  <c r="J53" s="1"/>
  <c r="P53" s="1"/>
  <c r="G52"/>
  <c r="J52" s="1"/>
  <c r="V51"/>
  <c r="G51"/>
  <c r="J51" s="1"/>
  <c r="G50"/>
  <c r="J50" s="1"/>
  <c r="L50" s="1"/>
  <c r="O50" s="1"/>
  <c r="G49"/>
  <c r="J49" s="1"/>
  <c r="V48"/>
  <c r="G48"/>
  <c r="J48" s="1"/>
  <c r="V47"/>
  <c r="J47"/>
  <c r="P47" s="1"/>
  <c r="G47"/>
  <c r="G46"/>
  <c r="J46" s="1"/>
  <c r="P46" s="1"/>
  <c r="G45"/>
  <c r="J45" s="1"/>
  <c r="R44"/>
  <c r="J44"/>
  <c r="P44" s="1"/>
  <c r="G44"/>
  <c r="G43"/>
  <c r="J43" s="1"/>
  <c r="G42"/>
  <c r="J42" s="1"/>
  <c r="V41"/>
  <c r="G41"/>
  <c r="J41" s="1"/>
  <c r="G40"/>
  <c r="J40" s="1"/>
  <c r="V39"/>
  <c r="J39"/>
  <c r="L39" s="1"/>
  <c r="O39" s="1"/>
  <c r="G39"/>
  <c r="V38"/>
  <c r="G38"/>
  <c r="J38" s="1"/>
  <c r="G37"/>
  <c r="J37" s="1"/>
  <c r="G36"/>
  <c r="J36" s="1"/>
  <c r="P36" s="1"/>
  <c r="V35"/>
  <c r="G35"/>
  <c r="J35" s="1"/>
  <c r="G34"/>
  <c r="J34" s="1"/>
  <c r="J33"/>
  <c r="P33" s="1"/>
  <c r="G33"/>
  <c r="J32"/>
  <c r="P32" s="1"/>
  <c r="G32"/>
  <c r="J31"/>
  <c r="P31" s="1"/>
  <c r="G31"/>
  <c r="G30"/>
  <c r="J30" s="1"/>
  <c r="G29"/>
  <c r="J29" s="1"/>
  <c r="L29" s="1"/>
  <c r="O29" s="1"/>
  <c r="G28"/>
  <c r="J28" s="1"/>
  <c r="G27"/>
  <c r="J27" s="1"/>
  <c r="H98"/>
  <c r="G26"/>
  <c r="J26" s="1"/>
  <c r="G25"/>
  <c r="J25" s="1"/>
  <c r="G24"/>
  <c r="J24" s="1"/>
  <c r="G23"/>
  <c r="J23" s="1"/>
  <c r="R22"/>
  <c r="J22"/>
  <c r="P22" s="1"/>
  <c r="G22"/>
  <c r="J21"/>
  <c r="P21" s="1"/>
  <c r="G21"/>
  <c r="G20"/>
  <c r="J20" s="1"/>
  <c r="G19"/>
  <c r="J19" s="1"/>
  <c r="L19" s="1"/>
  <c r="O19" s="1"/>
  <c r="G18"/>
  <c r="J18" s="1"/>
  <c r="G17"/>
  <c r="J17" s="1"/>
  <c r="G16"/>
  <c r="J16" s="1"/>
  <c r="J15"/>
  <c r="P15" s="1"/>
  <c r="G15"/>
  <c r="G14"/>
  <c r="J14" s="1"/>
  <c r="P14" s="1"/>
  <c r="J13"/>
  <c r="P13" s="1"/>
  <c r="G13"/>
  <c r="G12"/>
  <c r="J12" s="1"/>
  <c r="G11"/>
  <c r="J11" s="1"/>
  <c r="L11" s="1"/>
  <c r="O11" s="1"/>
  <c r="G10"/>
  <c r="J10" s="1"/>
  <c r="G9"/>
  <c r="J9" s="1"/>
  <c r="G8"/>
  <c r="J8" s="1"/>
  <c r="L8" s="1"/>
  <c r="O8" s="1"/>
  <c r="E98"/>
  <c r="G7"/>
  <c r="J7" s="1"/>
  <c r="J6"/>
  <c r="G6"/>
  <c r="H26" i="879"/>
  <c r="H98" s="1"/>
  <c r="E8"/>
  <c r="G8" s="1"/>
  <c r="J8" s="1"/>
  <c r="M98"/>
  <c r="K98"/>
  <c r="I98"/>
  <c r="D98"/>
  <c r="J97"/>
  <c r="P97" s="1"/>
  <c r="G97"/>
  <c r="J96"/>
  <c r="P96" s="1"/>
  <c r="G96"/>
  <c r="V95"/>
  <c r="J95"/>
  <c r="P95" s="1"/>
  <c r="G95"/>
  <c r="V94"/>
  <c r="J94"/>
  <c r="P94" s="1"/>
  <c r="G94"/>
  <c r="V93"/>
  <c r="J93"/>
  <c r="P93" s="1"/>
  <c r="G93"/>
  <c r="J92"/>
  <c r="P92" s="1"/>
  <c r="G92"/>
  <c r="J91"/>
  <c r="P91" s="1"/>
  <c r="G91"/>
  <c r="V90"/>
  <c r="L90"/>
  <c r="O90" s="1"/>
  <c r="J90"/>
  <c r="P90" s="1"/>
  <c r="G90"/>
  <c r="V89"/>
  <c r="L89"/>
  <c r="O89" s="1"/>
  <c r="J89"/>
  <c r="P89" s="1"/>
  <c r="G89"/>
  <c r="V88"/>
  <c r="J88"/>
  <c r="P88" s="1"/>
  <c r="G88"/>
  <c r="J87"/>
  <c r="P87" s="1"/>
  <c r="G87"/>
  <c r="V86"/>
  <c r="J86"/>
  <c r="P86" s="1"/>
  <c r="G86"/>
  <c r="V85"/>
  <c r="J85"/>
  <c r="L85" s="1"/>
  <c r="O85" s="1"/>
  <c r="G85"/>
  <c r="J84"/>
  <c r="P84" s="1"/>
  <c r="G84"/>
  <c r="L83"/>
  <c r="O83" s="1"/>
  <c r="J83"/>
  <c r="P83" s="1"/>
  <c r="G83"/>
  <c r="R82"/>
  <c r="J82"/>
  <c r="L82" s="1"/>
  <c r="O82" s="1"/>
  <c r="G82"/>
  <c r="R81"/>
  <c r="J81"/>
  <c r="P81" s="1"/>
  <c r="G81"/>
  <c r="G80"/>
  <c r="J80" s="1"/>
  <c r="G79"/>
  <c r="J79" s="1"/>
  <c r="L79" s="1"/>
  <c r="O79" s="1"/>
  <c r="V78"/>
  <c r="G78"/>
  <c r="J78" s="1"/>
  <c r="G77"/>
  <c r="J77" s="1"/>
  <c r="V76"/>
  <c r="J76"/>
  <c r="P76" s="1"/>
  <c r="G76"/>
  <c r="J75"/>
  <c r="P75" s="1"/>
  <c r="G75"/>
  <c r="G74"/>
  <c r="J74" s="1"/>
  <c r="G73"/>
  <c r="J73" s="1"/>
  <c r="L73" s="1"/>
  <c r="O73" s="1"/>
  <c r="J72"/>
  <c r="P72" s="1"/>
  <c r="G72"/>
  <c r="G71"/>
  <c r="J71" s="1"/>
  <c r="P71" s="1"/>
  <c r="G70"/>
  <c r="J70" s="1"/>
  <c r="G69"/>
  <c r="J69" s="1"/>
  <c r="L69" s="1"/>
  <c r="O69" s="1"/>
  <c r="V68"/>
  <c r="J68"/>
  <c r="P68" s="1"/>
  <c r="G68"/>
  <c r="G67"/>
  <c r="J67" s="1"/>
  <c r="G66"/>
  <c r="J66" s="1"/>
  <c r="L66" s="1"/>
  <c r="O66" s="1"/>
  <c r="J65"/>
  <c r="P65" s="1"/>
  <c r="G65"/>
  <c r="V64"/>
  <c r="G64"/>
  <c r="J64" s="1"/>
  <c r="V63"/>
  <c r="J63"/>
  <c r="P63" s="1"/>
  <c r="G63"/>
  <c r="R62"/>
  <c r="G62"/>
  <c r="J62" s="1"/>
  <c r="J61"/>
  <c r="L61" s="1"/>
  <c r="O61" s="1"/>
  <c r="G61"/>
  <c r="V60"/>
  <c r="L60"/>
  <c r="O60" s="1"/>
  <c r="J60"/>
  <c r="P60" s="1"/>
  <c r="G60"/>
  <c r="G59"/>
  <c r="J59" s="1"/>
  <c r="R58"/>
  <c r="G58"/>
  <c r="J58" s="1"/>
  <c r="V57"/>
  <c r="G57"/>
  <c r="J57" s="1"/>
  <c r="V56"/>
  <c r="J56"/>
  <c r="P56" s="1"/>
  <c r="G56"/>
  <c r="J55"/>
  <c r="P55" s="1"/>
  <c r="G55"/>
  <c r="G54"/>
  <c r="J54" s="1"/>
  <c r="G53"/>
  <c r="J53" s="1"/>
  <c r="P53" s="1"/>
  <c r="G52"/>
  <c r="J52" s="1"/>
  <c r="V51"/>
  <c r="G51"/>
  <c r="J51" s="1"/>
  <c r="G50"/>
  <c r="J50" s="1"/>
  <c r="P50" s="1"/>
  <c r="J49"/>
  <c r="P49" s="1"/>
  <c r="G49"/>
  <c r="V48"/>
  <c r="G48"/>
  <c r="J48" s="1"/>
  <c r="V47"/>
  <c r="G47"/>
  <c r="J47" s="1"/>
  <c r="G46"/>
  <c r="J46" s="1"/>
  <c r="G45"/>
  <c r="J45" s="1"/>
  <c r="R44"/>
  <c r="G44"/>
  <c r="J44" s="1"/>
  <c r="P44" s="1"/>
  <c r="J43"/>
  <c r="P43" s="1"/>
  <c r="G43"/>
  <c r="G42"/>
  <c r="J42" s="1"/>
  <c r="V41"/>
  <c r="J41"/>
  <c r="P41" s="1"/>
  <c r="G41"/>
  <c r="J40"/>
  <c r="P40" s="1"/>
  <c r="G40"/>
  <c r="V39"/>
  <c r="J39"/>
  <c r="L39" s="1"/>
  <c r="O39" s="1"/>
  <c r="G39"/>
  <c r="V38"/>
  <c r="J38"/>
  <c r="P38" s="1"/>
  <c r="G38"/>
  <c r="G37"/>
  <c r="J37" s="1"/>
  <c r="G36"/>
  <c r="J36" s="1"/>
  <c r="L36" s="1"/>
  <c r="O36" s="1"/>
  <c r="V35"/>
  <c r="G35"/>
  <c r="J35" s="1"/>
  <c r="G34"/>
  <c r="J34" s="1"/>
  <c r="J33"/>
  <c r="L33" s="1"/>
  <c r="O33" s="1"/>
  <c r="G33"/>
  <c r="G32"/>
  <c r="J32" s="1"/>
  <c r="G31"/>
  <c r="J31" s="1"/>
  <c r="G30"/>
  <c r="J30" s="1"/>
  <c r="G29"/>
  <c r="J29" s="1"/>
  <c r="L29" s="1"/>
  <c r="O29" s="1"/>
  <c r="J28"/>
  <c r="P28" s="1"/>
  <c r="G28"/>
  <c r="L27"/>
  <c r="O27" s="1"/>
  <c r="J27"/>
  <c r="P27" s="1"/>
  <c r="G27"/>
  <c r="G26"/>
  <c r="J26" s="1"/>
  <c r="J25"/>
  <c r="L25" s="1"/>
  <c r="O25" s="1"/>
  <c r="G25"/>
  <c r="G24"/>
  <c r="J24" s="1"/>
  <c r="G23"/>
  <c r="J23" s="1"/>
  <c r="R22"/>
  <c r="J22"/>
  <c r="P22" s="1"/>
  <c r="G22"/>
  <c r="J21"/>
  <c r="P21" s="1"/>
  <c r="G21"/>
  <c r="G20"/>
  <c r="J20" s="1"/>
  <c r="G19"/>
  <c r="J19" s="1"/>
  <c r="J18"/>
  <c r="P18" s="1"/>
  <c r="G18"/>
  <c r="G17"/>
  <c r="J17" s="1"/>
  <c r="G16"/>
  <c r="J16" s="1"/>
  <c r="G15"/>
  <c r="J15" s="1"/>
  <c r="G14"/>
  <c r="J14" s="1"/>
  <c r="L14" s="1"/>
  <c r="O14" s="1"/>
  <c r="J13"/>
  <c r="P13" s="1"/>
  <c r="G13"/>
  <c r="L12"/>
  <c r="O12" s="1"/>
  <c r="J12"/>
  <c r="P12" s="1"/>
  <c r="G12"/>
  <c r="G11"/>
  <c r="J11" s="1"/>
  <c r="J10"/>
  <c r="P10" s="1"/>
  <c r="G10"/>
  <c r="J9"/>
  <c r="P9" s="1"/>
  <c r="G9"/>
  <c r="G7"/>
  <c r="J7" s="1"/>
  <c r="L7" s="1"/>
  <c r="O7" s="1"/>
  <c r="F98"/>
  <c r="E98"/>
  <c r="Q10" i="885" l="1"/>
  <c r="O6"/>
  <c r="L98"/>
  <c r="P98"/>
  <c r="P101" s="1"/>
  <c r="L21" i="884"/>
  <c r="O21" s="1"/>
  <c r="G98"/>
  <c r="P98"/>
  <c r="P101" s="1"/>
  <c r="O6"/>
  <c r="L98"/>
  <c r="P98" i="883"/>
  <c r="P101" s="1"/>
  <c r="O6"/>
  <c r="L98"/>
  <c r="L97" i="882"/>
  <c r="O97" s="1"/>
  <c r="L7"/>
  <c r="O7" s="1"/>
  <c r="P61"/>
  <c r="L61"/>
  <c r="O61" s="1"/>
  <c r="P50"/>
  <c r="L50"/>
  <c r="O50" s="1"/>
  <c r="P36"/>
  <c r="L36"/>
  <c r="O36" s="1"/>
  <c r="P22"/>
  <c r="L22"/>
  <c r="O22" s="1"/>
  <c r="L66"/>
  <c r="O66" s="1"/>
  <c r="L82"/>
  <c r="O82" s="1"/>
  <c r="P14"/>
  <c r="L14"/>
  <c r="O14" s="1"/>
  <c r="P69"/>
  <c r="L69"/>
  <c r="O69" s="1"/>
  <c r="P25"/>
  <c r="L25"/>
  <c r="O25" s="1"/>
  <c r="P39"/>
  <c r="L39"/>
  <c r="O39" s="1"/>
  <c r="P53"/>
  <c r="L53"/>
  <c r="O53" s="1"/>
  <c r="P84"/>
  <c r="P91"/>
  <c r="P96"/>
  <c r="L18"/>
  <c r="O18" s="1"/>
  <c r="L29"/>
  <c r="O29" s="1"/>
  <c r="L73"/>
  <c r="O73" s="1"/>
  <c r="L79"/>
  <c r="O79" s="1"/>
  <c r="L16"/>
  <c r="O16" s="1"/>
  <c r="P16"/>
  <c r="P21"/>
  <c r="L21"/>
  <c r="O21" s="1"/>
  <c r="P27"/>
  <c r="L27"/>
  <c r="O27" s="1"/>
  <c r="P32"/>
  <c r="L32"/>
  <c r="O32" s="1"/>
  <c r="P41"/>
  <c r="L41"/>
  <c r="O41" s="1"/>
  <c r="P43"/>
  <c r="L43"/>
  <c r="O43" s="1"/>
  <c r="L55"/>
  <c r="O55" s="1"/>
  <c r="P55"/>
  <c r="P71"/>
  <c r="L71"/>
  <c r="O71" s="1"/>
  <c r="P76"/>
  <c r="L76"/>
  <c r="O76" s="1"/>
  <c r="L78"/>
  <c r="O78" s="1"/>
  <c r="P78"/>
  <c r="J98"/>
  <c r="L6"/>
  <c r="P6"/>
  <c r="P20"/>
  <c r="L20"/>
  <c r="O20" s="1"/>
  <c r="P31"/>
  <c r="L31"/>
  <c r="O31" s="1"/>
  <c r="P40"/>
  <c r="L40"/>
  <c r="O40" s="1"/>
  <c r="P49"/>
  <c r="L49"/>
  <c r="O49" s="1"/>
  <c r="P65"/>
  <c r="L65"/>
  <c r="O65" s="1"/>
  <c r="L75"/>
  <c r="O75" s="1"/>
  <c r="P75"/>
  <c r="P81"/>
  <c r="L81"/>
  <c r="O81" s="1"/>
  <c r="P10"/>
  <c r="L10"/>
  <c r="O10" s="1"/>
  <c r="P13"/>
  <c r="L13"/>
  <c r="O13" s="1"/>
  <c r="P24"/>
  <c r="L24"/>
  <c r="O24" s="1"/>
  <c r="P35"/>
  <c r="L35"/>
  <c r="O35" s="1"/>
  <c r="P47"/>
  <c r="L47"/>
  <c r="O47" s="1"/>
  <c r="P52"/>
  <c r="L52"/>
  <c r="O52" s="1"/>
  <c r="P58"/>
  <c r="L58"/>
  <c r="O58" s="1"/>
  <c r="L60"/>
  <c r="O60" s="1"/>
  <c r="P60"/>
  <c r="P63"/>
  <c r="L63"/>
  <c r="O63" s="1"/>
  <c r="L9"/>
  <c r="O9" s="1"/>
  <c r="P9"/>
  <c r="P12"/>
  <c r="L12"/>
  <c r="O12" s="1"/>
  <c r="P17"/>
  <c r="L17"/>
  <c r="O17" s="1"/>
  <c r="P23"/>
  <c r="L23"/>
  <c r="O23" s="1"/>
  <c r="P28"/>
  <c r="L28"/>
  <c r="O28" s="1"/>
  <c r="L38"/>
  <c r="O38" s="1"/>
  <c r="P38"/>
  <c r="P44"/>
  <c r="L44"/>
  <c r="O44" s="1"/>
  <c r="P46"/>
  <c r="L46"/>
  <c r="O46" s="1"/>
  <c r="P56"/>
  <c r="L56"/>
  <c r="O56" s="1"/>
  <c r="P68"/>
  <c r="L68"/>
  <c r="O68" s="1"/>
  <c r="P72"/>
  <c r="L72"/>
  <c r="O72" s="1"/>
  <c r="L83"/>
  <c r="O83" s="1"/>
  <c r="P83"/>
  <c r="P8"/>
  <c r="P15"/>
  <c r="P34"/>
  <c r="P37"/>
  <c r="P51"/>
  <c r="P54"/>
  <c r="P57"/>
  <c r="P70"/>
  <c r="P77"/>
  <c r="P80"/>
  <c r="P88"/>
  <c r="P90"/>
  <c r="P93"/>
  <c r="P95"/>
  <c r="G98"/>
  <c r="P11"/>
  <c r="P19"/>
  <c r="P26"/>
  <c r="P30"/>
  <c r="P42"/>
  <c r="P45"/>
  <c r="P48"/>
  <c r="P59"/>
  <c r="P62"/>
  <c r="P64"/>
  <c r="P67"/>
  <c r="P74"/>
  <c r="L33" i="881"/>
  <c r="O33" s="1"/>
  <c r="L94"/>
  <c r="O94" s="1"/>
  <c r="P19"/>
  <c r="L19"/>
  <c r="O19" s="1"/>
  <c r="P8"/>
  <c r="L8"/>
  <c r="O8" s="1"/>
  <c r="P82"/>
  <c r="L82"/>
  <c r="O82" s="1"/>
  <c r="P11"/>
  <c r="L11"/>
  <c r="O11" s="1"/>
  <c r="P50"/>
  <c r="L50"/>
  <c r="O50" s="1"/>
  <c r="P53"/>
  <c r="L53"/>
  <c r="O53" s="1"/>
  <c r="P36"/>
  <c r="L36"/>
  <c r="O36" s="1"/>
  <c r="P39"/>
  <c r="L39"/>
  <c r="O39" s="1"/>
  <c r="P61"/>
  <c r="L61"/>
  <c r="O61" s="1"/>
  <c r="P66"/>
  <c r="L66"/>
  <c r="O66" s="1"/>
  <c r="P69"/>
  <c r="L69"/>
  <c r="O69" s="1"/>
  <c r="G98"/>
  <c r="P84"/>
  <c r="P91"/>
  <c r="P96"/>
  <c r="L85"/>
  <c r="O85" s="1"/>
  <c r="P86"/>
  <c r="L87"/>
  <c r="O87" s="1"/>
  <c r="L92"/>
  <c r="O92" s="1"/>
  <c r="J98"/>
  <c r="L15"/>
  <c r="O15" s="1"/>
  <c r="L29"/>
  <c r="O29" s="1"/>
  <c r="L73"/>
  <c r="O73" s="1"/>
  <c r="L79"/>
  <c r="O79" s="1"/>
  <c r="L17"/>
  <c r="O17" s="1"/>
  <c r="P17"/>
  <c r="P22"/>
  <c r="L22"/>
  <c r="O22" s="1"/>
  <c r="L24"/>
  <c r="O24" s="1"/>
  <c r="P24"/>
  <c r="L31"/>
  <c r="O31" s="1"/>
  <c r="P31"/>
  <c r="P40"/>
  <c r="L40"/>
  <c r="O40" s="1"/>
  <c r="P49"/>
  <c r="L49"/>
  <c r="O49" s="1"/>
  <c r="P65"/>
  <c r="L65"/>
  <c r="O65" s="1"/>
  <c r="L75"/>
  <c r="O75" s="1"/>
  <c r="P75"/>
  <c r="L81"/>
  <c r="O81" s="1"/>
  <c r="P81"/>
  <c r="L10"/>
  <c r="O10" s="1"/>
  <c r="P10"/>
  <c r="P21"/>
  <c r="L21"/>
  <c r="O21" s="1"/>
  <c r="L35"/>
  <c r="O35" s="1"/>
  <c r="P35"/>
  <c r="P47"/>
  <c r="L47"/>
  <c r="O47" s="1"/>
  <c r="P52"/>
  <c r="L52"/>
  <c r="O52" s="1"/>
  <c r="P58"/>
  <c r="L58"/>
  <c r="O58" s="1"/>
  <c r="L60"/>
  <c r="O60" s="1"/>
  <c r="P60"/>
  <c r="P63"/>
  <c r="L63"/>
  <c r="O63" s="1"/>
  <c r="P14"/>
  <c r="L14"/>
  <c r="O14" s="1"/>
  <c r="P28"/>
  <c r="L28"/>
  <c r="O28" s="1"/>
  <c r="L38"/>
  <c r="O38" s="1"/>
  <c r="P38"/>
  <c r="P44"/>
  <c r="L44"/>
  <c r="O44" s="1"/>
  <c r="P46"/>
  <c r="L46"/>
  <c r="O46" s="1"/>
  <c r="P56"/>
  <c r="L56"/>
  <c r="O56" s="1"/>
  <c r="P68"/>
  <c r="L68"/>
  <c r="O68" s="1"/>
  <c r="P72"/>
  <c r="L72"/>
  <c r="O72" s="1"/>
  <c r="L83"/>
  <c r="O83" s="1"/>
  <c r="P83"/>
  <c r="P7"/>
  <c r="L7"/>
  <c r="O7" s="1"/>
  <c r="P13"/>
  <c r="L13"/>
  <c r="O13" s="1"/>
  <c r="P18"/>
  <c r="L18"/>
  <c r="O18" s="1"/>
  <c r="P25"/>
  <c r="L25"/>
  <c r="O25" s="1"/>
  <c r="L27"/>
  <c r="O27" s="1"/>
  <c r="P27"/>
  <c r="P32"/>
  <c r="L32"/>
  <c r="O32" s="1"/>
  <c r="P41"/>
  <c r="L41"/>
  <c r="O41" s="1"/>
  <c r="L43"/>
  <c r="O43" s="1"/>
  <c r="P43"/>
  <c r="P55"/>
  <c r="L55"/>
  <c r="O55" s="1"/>
  <c r="L71"/>
  <c r="O71" s="1"/>
  <c r="P71"/>
  <c r="P76"/>
  <c r="L76"/>
  <c r="O76" s="1"/>
  <c r="L78"/>
  <c r="O78" s="1"/>
  <c r="P78"/>
  <c r="P9"/>
  <c r="P12"/>
  <c r="P16"/>
  <c r="P20"/>
  <c r="P23"/>
  <c r="P26"/>
  <c r="P34"/>
  <c r="P37"/>
  <c r="P51"/>
  <c r="P64"/>
  <c r="P74"/>
  <c r="P77"/>
  <c r="P80"/>
  <c r="P88"/>
  <c r="P90"/>
  <c r="P6"/>
  <c r="P30"/>
  <c r="P42"/>
  <c r="P45"/>
  <c r="P48"/>
  <c r="P54"/>
  <c r="P57"/>
  <c r="P59"/>
  <c r="P62"/>
  <c r="P67"/>
  <c r="P70"/>
  <c r="P93"/>
  <c r="P95"/>
  <c r="L6"/>
  <c r="L71" i="880"/>
  <c r="O71" s="1"/>
  <c r="L72"/>
  <c r="O72" s="1"/>
  <c r="P43"/>
  <c r="L43"/>
  <c r="O43" s="1"/>
  <c r="P95"/>
  <c r="L44"/>
  <c r="O44" s="1"/>
  <c r="L55"/>
  <c r="O55" s="1"/>
  <c r="L68"/>
  <c r="O68" s="1"/>
  <c r="P90"/>
  <c r="L91"/>
  <c r="O91" s="1"/>
  <c r="L94"/>
  <c r="O94" s="1"/>
  <c r="P17"/>
  <c r="L17"/>
  <c r="O17" s="1"/>
  <c r="P41"/>
  <c r="L41"/>
  <c r="O41" s="1"/>
  <c r="P25"/>
  <c r="L25"/>
  <c r="O25" s="1"/>
  <c r="P28"/>
  <c r="L28"/>
  <c r="O28" s="1"/>
  <c r="P40"/>
  <c r="L40"/>
  <c r="O40" s="1"/>
  <c r="P58"/>
  <c r="L58"/>
  <c r="O58" s="1"/>
  <c r="P83"/>
  <c r="L83"/>
  <c r="O83" s="1"/>
  <c r="P7"/>
  <c r="L7"/>
  <c r="O7" s="1"/>
  <c r="P10"/>
  <c r="L10"/>
  <c r="O10" s="1"/>
  <c r="P24"/>
  <c r="L24"/>
  <c r="O24" s="1"/>
  <c r="P27"/>
  <c r="L27"/>
  <c r="O27" s="1"/>
  <c r="P38"/>
  <c r="L38"/>
  <c r="O38" s="1"/>
  <c r="P49"/>
  <c r="L49"/>
  <c r="O49" s="1"/>
  <c r="P52"/>
  <c r="L52"/>
  <c r="O52" s="1"/>
  <c r="P60"/>
  <c r="L60"/>
  <c r="O60" s="1"/>
  <c r="P65"/>
  <c r="L65"/>
  <c r="O65" s="1"/>
  <c r="P76"/>
  <c r="L76"/>
  <c r="O76" s="1"/>
  <c r="P81"/>
  <c r="L81"/>
  <c r="O81" s="1"/>
  <c r="P18"/>
  <c r="L18"/>
  <c r="O18" s="1"/>
  <c r="P35"/>
  <c r="L35"/>
  <c r="O35" s="1"/>
  <c r="P75"/>
  <c r="L75"/>
  <c r="O75" s="1"/>
  <c r="P78"/>
  <c r="L78"/>
  <c r="O78" s="1"/>
  <c r="P93"/>
  <c r="G98"/>
  <c r="L89"/>
  <c r="O89" s="1"/>
  <c r="L13"/>
  <c r="O13" s="1"/>
  <c r="L14"/>
  <c r="O14" s="1"/>
  <c r="L21"/>
  <c r="O21" s="1"/>
  <c r="L22"/>
  <c r="O22" s="1"/>
  <c r="L31"/>
  <c r="O31" s="1"/>
  <c r="L32"/>
  <c r="O32" s="1"/>
  <c r="L46"/>
  <c r="O46" s="1"/>
  <c r="L47"/>
  <c r="O47" s="1"/>
  <c r="L86"/>
  <c r="O86" s="1"/>
  <c r="L96"/>
  <c r="O96" s="1"/>
  <c r="L23"/>
  <c r="O23" s="1"/>
  <c r="P23"/>
  <c r="L26"/>
  <c r="O26" s="1"/>
  <c r="P26"/>
  <c r="L48"/>
  <c r="O48" s="1"/>
  <c r="P48"/>
  <c r="L74"/>
  <c r="O74" s="1"/>
  <c r="P74"/>
  <c r="L12"/>
  <c r="O12" s="1"/>
  <c r="P12"/>
  <c r="L30"/>
  <c r="O30" s="1"/>
  <c r="P30"/>
  <c r="L45"/>
  <c r="O45" s="1"/>
  <c r="P45"/>
  <c r="L51"/>
  <c r="O51" s="1"/>
  <c r="P51"/>
  <c r="L57"/>
  <c r="O57" s="1"/>
  <c r="P57"/>
  <c r="L64"/>
  <c r="O64" s="1"/>
  <c r="P64"/>
  <c r="L16"/>
  <c r="O16" s="1"/>
  <c r="P16"/>
  <c r="L34"/>
  <c r="O34" s="1"/>
  <c r="P34"/>
  <c r="L37"/>
  <c r="O37" s="1"/>
  <c r="P37"/>
  <c r="L59"/>
  <c r="O59" s="1"/>
  <c r="P59"/>
  <c r="L62"/>
  <c r="O62" s="1"/>
  <c r="P62"/>
  <c r="L77"/>
  <c r="O77" s="1"/>
  <c r="P77"/>
  <c r="L80"/>
  <c r="O80" s="1"/>
  <c r="P80"/>
  <c r="J98"/>
  <c r="P9"/>
  <c r="L9"/>
  <c r="O9" s="1"/>
  <c r="L20"/>
  <c r="O20" s="1"/>
  <c r="P20"/>
  <c r="L42"/>
  <c r="O42" s="1"/>
  <c r="P42"/>
  <c r="L54"/>
  <c r="O54" s="1"/>
  <c r="P54"/>
  <c r="L67"/>
  <c r="O67" s="1"/>
  <c r="P67"/>
  <c r="L70"/>
  <c r="O70" s="1"/>
  <c r="P70"/>
  <c r="P6"/>
  <c r="P8"/>
  <c r="P11"/>
  <c r="P19"/>
  <c r="P29"/>
  <c r="P39"/>
  <c r="P50"/>
  <c r="P61"/>
  <c r="P73"/>
  <c r="P79"/>
  <c r="P82"/>
  <c r="P85"/>
  <c r="P87"/>
  <c r="P92"/>
  <c r="P97"/>
  <c r="L6"/>
  <c r="L15"/>
  <c r="O15" s="1"/>
  <c r="L33"/>
  <c r="O33" s="1"/>
  <c r="L36"/>
  <c r="O36" s="1"/>
  <c r="L53"/>
  <c r="O53" s="1"/>
  <c r="L66"/>
  <c r="O66" s="1"/>
  <c r="L69"/>
  <c r="O69" s="1"/>
  <c r="L49" i="879"/>
  <c r="O49" s="1"/>
  <c r="L10"/>
  <c r="O10" s="1"/>
  <c r="Q10" s="1"/>
  <c r="L65"/>
  <c r="O65" s="1"/>
  <c r="L13"/>
  <c r="O13" s="1"/>
  <c r="L28"/>
  <c r="O28" s="1"/>
  <c r="L40"/>
  <c r="O40" s="1"/>
  <c r="L84"/>
  <c r="O84" s="1"/>
  <c r="L41"/>
  <c r="O41" s="1"/>
  <c r="L93"/>
  <c r="O93" s="1"/>
  <c r="L94"/>
  <c r="O94" s="1"/>
  <c r="L95"/>
  <c r="O95" s="1"/>
  <c r="L96"/>
  <c r="O96" s="1"/>
  <c r="P78"/>
  <c r="L78"/>
  <c r="O78" s="1"/>
  <c r="P20"/>
  <c r="L20"/>
  <c r="O20" s="1"/>
  <c r="P58"/>
  <c r="L58"/>
  <c r="O58" s="1"/>
  <c r="P52"/>
  <c r="L52"/>
  <c r="O52" s="1"/>
  <c r="P35"/>
  <c r="L35"/>
  <c r="O35" s="1"/>
  <c r="L9"/>
  <c r="O9" s="1"/>
  <c r="L21"/>
  <c r="O21" s="1"/>
  <c r="L38"/>
  <c r="O38" s="1"/>
  <c r="L75"/>
  <c r="O75" s="1"/>
  <c r="L76"/>
  <c r="O76" s="1"/>
  <c r="L81"/>
  <c r="O81" s="1"/>
  <c r="L86"/>
  <c r="O86" s="1"/>
  <c r="P32"/>
  <c r="L32"/>
  <c r="O32" s="1"/>
  <c r="P46"/>
  <c r="L46"/>
  <c r="O46" s="1"/>
  <c r="P16"/>
  <c r="L16"/>
  <c r="O16" s="1"/>
  <c r="P31"/>
  <c r="L31"/>
  <c r="O31" s="1"/>
  <c r="P24"/>
  <c r="L24"/>
  <c r="O24" s="1"/>
  <c r="P23"/>
  <c r="L23"/>
  <c r="O23" s="1"/>
  <c r="P47"/>
  <c r="L47"/>
  <c r="O47" s="1"/>
  <c r="P17"/>
  <c r="L17"/>
  <c r="O17" s="1"/>
  <c r="L43"/>
  <c r="O43" s="1"/>
  <c r="L44"/>
  <c r="O44" s="1"/>
  <c r="L55"/>
  <c r="O55" s="1"/>
  <c r="L56"/>
  <c r="O56" s="1"/>
  <c r="L63"/>
  <c r="O63" s="1"/>
  <c r="L68"/>
  <c r="O68" s="1"/>
  <c r="L71"/>
  <c r="O71" s="1"/>
  <c r="L72"/>
  <c r="O72" s="1"/>
  <c r="L88"/>
  <c r="O88" s="1"/>
  <c r="L91"/>
  <c r="O91" s="1"/>
  <c r="L74"/>
  <c r="O74" s="1"/>
  <c r="P74"/>
  <c r="L30"/>
  <c r="O30" s="1"/>
  <c r="P30"/>
  <c r="L45"/>
  <c r="O45" s="1"/>
  <c r="P45"/>
  <c r="L51"/>
  <c r="O51" s="1"/>
  <c r="P51"/>
  <c r="L57"/>
  <c r="O57" s="1"/>
  <c r="P57"/>
  <c r="L64"/>
  <c r="O64" s="1"/>
  <c r="P64"/>
  <c r="L42"/>
  <c r="O42" s="1"/>
  <c r="P42"/>
  <c r="L54"/>
  <c r="O54" s="1"/>
  <c r="P54"/>
  <c r="L67"/>
  <c r="O67" s="1"/>
  <c r="P67"/>
  <c r="L70"/>
  <c r="O70" s="1"/>
  <c r="P70"/>
  <c r="L8"/>
  <c r="O8" s="1"/>
  <c r="P8"/>
  <c r="L11"/>
  <c r="O11" s="1"/>
  <c r="P11"/>
  <c r="L19"/>
  <c r="O19" s="1"/>
  <c r="P19"/>
  <c r="L26"/>
  <c r="O26" s="1"/>
  <c r="P26"/>
  <c r="L34"/>
  <c r="O34" s="1"/>
  <c r="P34"/>
  <c r="L37"/>
  <c r="O37" s="1"/>
  <c r="P37"/>
  <c r="L59"/>
  <c r="O59" s="1"/>
  <c r="P59"/>
  <c r="L62"/>
  <c r="O62" s="1"/>
  <c r="P62"/>
  <c r="L77"/>
  <c r="O77" s="1"/>
  <c r="P77"/>
  <c r="L80"/>
  <c r="O80" s="1"/>
  <c r="P80"/>
  <c r="L48"/>
  <c r="O48" s="1"/>
  <c r="P48"/>
  <c r="L15"/>
  <c r="O15" s="1"/>
  <c r="P15"/>
  <c r="P7"/>
  <c r="P14"/>
  <c r="P25"/>
  <c r="P29"/>
  <c r="P33"/>
  <c r="P36"/>
  <c r="P39"/>
  <c r="P61"/>
  <c r="P66"/>
  <c r="P69"/>
  <c r="P73"/>
  <c r="P79"/>
  <c r="P82"/>
  <c r="P85"/>
  <c r="G6"/>
  <c r="L18"/>
  <c r="O18" s="1"/>
  <c r="L22"/>
  <c r="O22" s="1"/>
  <c r="L50"/>
  <c r="O50" s="1"/>
  <c r="L53"/>
  <c r="O53" s="1"/>
  <c r="L87"/>
  <c r="O87" s="1"/>
  <c r="L92"/>
  <c r="O92" s="1"/>
  <c r="L97"/>
  <c r="O97" s="1"/>
  <c r="F6" i="878"/>
  <c r="E6"/>
  <c r="E98" s="1"/>
  <c r="M98"/>
  <c r="K98"/>
  <c r="I98"/>
  <c r="H98"/>
  <c r="F98"/>
  <c r="D98"/>
  <c r="L97"/>
  <c r="O97" s="1"/>
  <c r="J97"/>
  <c r="P97" s="1"/>
  <c r="G97"/>
  <c r="J96"/>
  <c r="P96" s="1"/>
  <c r="G96"/>
  <c r="V95"/>
  <c r="J95"/>
  <c r="L95" s="1"/>
  <c r="O95" s="1"/>
  <c r="G95"/>
  <c r="V94"/>
  <c r="L94"/>
  <c r="O94" s="1"/>
  <c r="J94"/>
  <c r="P94" s="1"/>
  <c r="G94"/>
  <c r="V93"/>
  <c r="J93"/>
  <c r="L93" s="1"/>
  <c r="O93" s="1"/>
  <c r="G93"/>
  <c r="J92"/>
  <c r="P92" s="1"/>
  <c r="G92"/>
  <c r="J91"/>
  <c r="L91" s="1"/>
  <c r="O91" s="1"/>
  <c r="G91"/>
  <c r="V90"/>
  <c r="J90"/>
  <c r="L90" s="1"/>
  <c r="O90" s="1"/>
  <c r="G90"/>
  <c r="V89"/>
  <c r="J89"/>
  <c r="P89" s="1"/>
  <c r="G89"/>
  <c r="V88"/>
  <c r="J88"/>
  <c r="L88" s="1"/>
  <c r="O88" s="1"/>
  <c r="G88"/>
  <c r="J87"/>
  <c r="P87" s="1"/>
  <c r="G87"/>
  <c r="V86"/>
  <c r="J86"/>
  <c r="L86" s="1"/>
  <c r="O86" s="1"/>
  <c r="G86"/>
  <c r="V85"/>
  <c r="J85"/>
  <c r="P85" s="1"/>
  <c r="G85"/>
  <c r="J84"/>
  <c r="L84" s="1"/>
  <c r="O84" s="1"/>
  <c r="G84"/>
  <c r="G83"/>
  <c r="J83" s="1"/>
  <c r="R82"/>
  <c r="J82"/>
  <c r="P82" s="1"/>
  <c r="G82"/>
  <c r="R81"/>
  <c r="G81"/>
  <c r="J81" s="1"/>
  <c r="J80"/>
  <c r="L80" s="1"/>
  <c r="O80" s="1"/>
  <c r="G80"/>
  <c r="G79"/>
  <c r="J79" s="1"/>
  <c r="V78"/>
  <c r="G78"/>
  <c r="J78" s="1"/>
  <c r="G77"/>
  <c r="J77" s="1"/>
  <c r="L77" s="1"/>
  <c r="O77" s="1"/>
  <c r="V76"/>
  <c r="G76"/>
  <c r="J76" s="1"/>
  <c r="G75"/>
  <c r="J75" s="1"/>
  <c r="J74"/>
  <c r="L74" s="1"/>
  <c r="O74" s="1"/>
  <c r="G74"/>
  <c r="G73"/>
  <c r="J73" s="1"/>
  <c r="G72"/>
  <c r="J72" s="1"/>
  <c r="G71"/>
  <c r="J71" s="1"/>
  <c r="G70"/>
  <c r="J70" s="1"/>
  <c r="L70" s="1"/>
  <c r="O70" s="1"/>
  <c r="G69"/>
  <c r="J69" s="1"/>
  <c r="V68"/>
  <c r="G68"/>
  <c r="J68" s="1"/>
  <c r="G67"/>
  <c r="J67" s="1"/>
  <c r="L67" s="1"/>
  <c r="O67" s="1"/>
  <c r="J66"/>
  <c r="P66" s="1"/>
  <c r="G66"/>
  <c r="G65"/>
  <c r="J65" s="1"/>
  <c r="V64"/>
  <c r="J64"/>
  <c r="L64" s="1"/>
  <c r="O64" s="1"/>
  <c r="G64"/>
  <c r="V63"/>
  <c r="G63"/>
  <c r="J63" s="1"/>
  <c r="R62"/>
  <c r="G62"/>
  <c r="J62" s="1"/>
  <c r="L62" s="1"/>
  <c r="O62" s="1"/>
  <c r="G61"/>
  <c r="J61" s="1"/>
  <c r="V60"/>
  <c r="G60"/>
  <c r="J60" s="1"/>
  <c r="G59"/>
  <c r="J59" s="1"/>
  <c r="L59" s="1"/>
  <c r="O59" s="1"/>
  <c r="R58"/>
  <c r="G58"/>
  <c r="J58" s="1"/>
  <c r="V57"/>
  <c r="G57"/>
  <c r="J57" s="1"/>
  <c r="L57" s="1"/>
  <c r="O57" s="1"/>
  <c r="V56"/>
  <c r="G56"/>
  <c r="J56" s="1"/>
  <c r="G55"/>
  <c r="J55" s="1"/>
  <c r="G54"/>
  <c r="J54" s="1"/>
  <c r="L54" s="1"/>
  <c r="O54" s="1"/>
  <c r="G53"/>
  <c r="J53" s="1"/>
  <c r="G52"/>
  <c r="J52" s="1"/>
  <c r="V51"/>
  <c r="G51"/>
  <c r="J51" s="1"/>
  <c r="L51" s="1"/>
  <c r="O51" s="1"/>
  <c r="G50"/>
  <c r="J50" s="1"/>
  <c r="G49"/>
  <c r="J49" s="1"/>
  <c r="V48"/>
  <c r="G48"/>
  <c r="J48" s="1"/>
  <c r="L48" s="1"/>
  <c r="O48" s="1"/>
  <c r="V47"/>
  <c r="G47"/>
  <c r="J47" s="1"/>
  <c r="G46"/>
  <c r="J46" s="1"/>
  <c r="G45"/>
  <c r="J45" s="1"/>
  <c r="L45" s="1"/>
  <c r="O45" s="1"/>
  <c r="R44"/>
  <c r="G44"/>
  <c r="J44" s="1"/>
  <c r="G43"/>
  <c r="J43" s="1"/>
  <c r="G42"/>
  <c r="J42" s="1"/>
  <c r="L42" s="1"/>
  <c r="O42" s="1"/>
  <c r="V41"/>
  <c r="G41"/>
  <c r="J41" s="1"/>
  <c r="G40"/>
  <c r="J40" s="1"/>
  <c r="V39"/>
  <c r="G39"/>
  <c r="J39" s="1"/>
  <c r="V38"/>
  <c r="G38"/>
  <c r="J38" s="1"/>
  <c r="G37"/>
  <c r="J37" s="1"/>
  <c r="L37" s="1"/>
  <c r="O37" s="1"/>
  <c r="J36"/>
  <c r="P36" s="1"/>
  <c r="G36"/>
  <c r="V35"/>
  <c r="G35"/>
  <c r="J35" s="1"/>
  <c r="J34"/>
  <c r="L34" s="1"/>
  <c r="O34" s="1"/>
  <c r="G34"/>
  <c r="G33"/>
  <c r="J33" s="1"/>
  <c r="P33" s="1"/>
  <c r="G32"/>
  <c r="J32" s="1"/>
  <c r="G31"/>
  <c r="J31" s="1"/>
  <c r="G30"/>
  <c r="J30" s="1"/>
  <c r="L30" s="1"/>
  <c r="O30" s="1"/>
  <c r="G29"/>
  <c r="J29" s="1"/>
  <c r="G28"/>
  <c r="J28" s="1"/>
  <c r="G27"/>
  <c r="J27" s="1"/>
  <c r="G26"/>
  <c r="J26" s="1"/>
  <c r="L26" s="1"/>
  <c r="O26" s="1"/>
  <c r="G25"/>
  <c r="J25" s="1"/>
  <c r="G24"/>
  <c r="J24" s="1"/>
  <c r="G23"/>
  <c r="J23" s="1"/>
  <c r="R22"/>
  <c r="J22"/>
  <c r="P22" s="1"/>
  <c r="G22"/>
  <c r="G21"/>
  <c r="J21" s="1"/>
  <c r="G20"/>
  <c r="J20" s="1"/>
  <c r="J19"/>
  <c r="L19" s="1"/>
  <c r="O19" s="1"/>
  <c r="G19"/>
  <c r="G18"/>
  <c r="J18" s="1"/>
  <c r="G17"/>
  <c r="J17" s="1"/>
  <c r="G16"/>
  <c r="J16" s="1"/>
  <c r="G15"/>
  <c r="J15" s="1"/>
  <c r="L15" s="1"/>
  <c r="O15" s="1"/>
  <c r="G14"/>
  <c r="J14" s="1"/>
  <c r="G13"/>
  <c r="J13" s="1"/>
  <c r="G12"/>
  <c r="J12" s="1"/>
  <c r="G11"/>
  <c r="J11" s="1"/>
  <c r="L11" s="1"/>
  <c r="O11" s="1"/>
  <c r="G10"/>
  <c r="J10" s="1"/>
  <c r="G9"/>
  <c r="J9" s="1"/>
  <c r="G8"/>
  <c r="J8" s="1"/>
  <c r="L8" s="1"/>
  <c r="O8" s="1"/>
  <c r="G7"/>
  <c r="J7" s="1"/>
  <c r="M98" i="877"/>
  <c r="K98"/>
  <c r="I98"/>
  <c r="H98"/>
  <c r="F98"/>
  <c r="E98"/>
  <c r="D98"/>
  <c r="J97"/>
  <c r="L97" s="1"/>
  <c r="O97" s="1"/>
  <c r="G97"/>
  <c r="L96"/>
  <c r="O96" s="1"/>
  <c r="J96"/>
  <c r="P96" s="1"/>
  <c r="G96"/>
  <c r="V95"/>
  <c r="P95"/>
  <c r="J95"/>
  <c r="L95" s="1"/>
  <c r="O95" s="1"/>
  <c r="G95"/>
  <c r="V94"/>
  <c r="L94"/>
  <c r="O94" s="1"/>
  <c r="J94"/>
  <c r="P94" s="1"/>
  <c r="G94"/>
  <c r="V93"/>
  <c r="P93"/>
  <c r="J93"/>
  <c r="L93" s="1"/>
  <c r="O93" s="1"/>
  <c r="G93"/>
  <c r="J92"/>
  <c r="L92" s="1"/>
  <c r="O92" s="1"/>
  <c r="G92"/>
  <c r="L91"/>
  <c r="O91" s="1"/>
  <c r="J91"/>
  <c r="P91" s="1"/>
  <c r="G91"/>
  <c r="V90"/>
  <c r="P90"/>
  <c r="J90"/>
  <c r="L90" s="1"/>
  <c r="O90" s="1"/>
  <c r="G90"/>
  <c r="V89"/>
  <c r="L89"/>
  <c r="O89" s="1"/>
  <c r="J89"/>
  <c r="P89" s="1"/>
  <c r="G89"/>
  <c r="V88"/>
  <c r="P88"/>
  <c r="J88"/>
  <c r="L88" s="1"/>
  <c r="O88" s="1"/>
  <c r="G88"/>
  <c r="J87"/>
  <c r="P87" s="1"/>
  <c r="G87"/>
  <c r="V86"/>
  <c r="L86"/>
  <c r="O86" s="1"/>
  <c r="J86"/>
  <c r="P86" s="1"/>
  <c r="G86"/>
  <c r="V85"/>
  <c r="J85"/>
  <c r="P85" s="1"/>
  <c r="G85"/>
  <c r="J84"/>
  <c r="P84" s="1"/>
  <c r="G84"/>
  <c r="G83"/>
  <c r="J83" s="1"/>
  <c r="R82"/>
  <c r="J82"/>
  <c r="P82" s="1"/>
  <c r="G82"/>
  <c r="R81"/>
  <c r="G81"/>
  <c r="J81" s="1"/>
  <c r="G80"/>
  <c r="J80" s="1"/>
  <c r="J79"/>
  <c r="L79" s="1"/>
  <c r="O79" s="1"/>
  <c r="G79"/>
  <c r="V78"/>
  <c r="G78"/>
  <c r="J78" s="1"/>
  <c r="G77"/>
  <c r="J77" s="1"/>
  <c r="V76"/>
  <c r="J76"/>
  <c r="P76" s="1"/>
  <c r="G76"/>
  <c r="G75"/>
  <c r="J75" s="1"/>
  <c r="G74"/>
  <c r="J74" s="1"/>
  <c r="J73"/>
  <c r="P73" s="1"/>
  <c r="G73"/>
  <c r="G72"/>
  <c r="J72" s="1"/>
  <c r="G71"/>
  <c r="J71" s="1"/>
  <c r="G70"/>
  <c r="J70" s="1"/>
  <c r="G69"/>
  <c r="J69" s="1"/>
  <c r="P69" s="1"/>
  <c r="V68"/>
  <c r="G68"/>
  <c r="J68" s="1"/>
  <c r="G67"/>
  <c r="J67" s="1"/>
  <c r="J66"/>
  <c r="L66" s="1"/>
  <c r="O66" s="1"/>
  <c r="G66"/>
  <c r="G65"/>
  <c r="J65" s="1"/>
  <c r="V64"/>
  <c r="G64"/>
  <c r="J64" s="1"/>
  <c r="V63"/>
  <c r="L63"/>
  <c r="O63" s="1"/>
  <c r="J63"/>
  <c r="P63" s="1"/>
  <c r="G63"/>
  <c r="R62"/>
  <c r="G62"/>
  <c r="J62" s="1"/>
  <c r="J61"/>
  <c r="P61" s="1"/>
  <c r="G61"/>
  <c r="V60"/>
  <c r="G60"/>
  <c r="J60" s="1"/>
  <c r="G59"/>
  <c r="J59" s="1"/>
  <c r="R58"/>
  <c r="G58"/>
  <c r="J58" s="1"/>
  <c r="V57"/>
  <c r="G57"/>
  <c r="J57" s="1"/>
  <c r="V56"/>
  <c r="G56"/>
  <c r="J56" s="1"/>
  <c r="G55"/>
  <c r="J55" s="1"/>
  <c r="G54"/>
  <c r="J54" s="1"/>
  <c r="J53"/>
  <c r="L53" s="1"/>
  <c r="O53" s="1"/>
  <c r="G53"/>
  <c r="G52"/>
  <c r="J52" s="1"/>
  <c r="V51"/>
  <c r="G51"/>
  <c r="J51" s="1"/>
  <c r="G50"/>
  <c r="J50" s="1"/>
  <c r="P50" s="1"/>
  <c r="G49"/>
  <c r="J49" s="1"/>
  <c r="P49" s="1"/>
  <c r="V48"/>
  <c r="G48"/>
  <c r="J48" s="1"/>
  <c r="V47"/>
  <c r="J47"/>
  <c r="P47" s="1"/>
  <c r="G47"/>
  <c r="G46"/>
  <c r="J46" s="1"/>
  <c r="P46" s="1"/>
  <c r="G45"/>
  <c r="J45" s="1"/>
  <c r="R44"/>
  <c r="G44"/>
  <c r="J44" s="1"/>
  <c r="P44" s="1"/>
  <c r="L43"/>
  <c r="O43" s="1"/>
  <c r="J43"/>
  <c r="P43" s="1"/>
  <c r="G43"/>
  <c r="G42"/>
  <c r="J42" s="1"/>
  <c r="V41"/>
  <c r="J41"/>
  <c r="P41" s="1"/>
  <c r="G41"/>
  <c r="J40"/>
  <c r="P40" s="1"/>
  <c r="G40"/>
  <c r="V39"/>
  <c r="J39"/>
  <c r="P39" s="1"/>
  <c r="G39"/>
  <c r="V38"/>
  <c r="J38"/>
  <c r="P38" s="1"/>
  <c r="G38"/>
  <c r="G37"/>
  <c r="J37" s="1"/>
  <c r="J36"/>
  <c r="L36" s="1"/>
  <c r="O36" s="1"/>
  <c r="G36"/>
  <c r="V35"/>
  <c r="J35"/>
  <c r="P35" s="1"/>
  <c r="G35"/>
  <c r="G34"/>
  <c r="J34" s="1"/>
  <c r="J33"/>
  <c r="L33" s="1"/>
  <c r="O33" s="1"/>
  <c r="G33"/>
  <c r="J32"/>
  <c r="P32" s="1"/>
  <c r="G32"/>
  <c r="J31"/>
  <c r="P31" s="1"/>
  <c r="G31"/>
  <c r="G30"/>
  <c r="J30" s="1"/>
  <c r="G29"/>
  <c r="J29" s="1"/>
  <c r="P29" s="1"/>
  <c r="J28"/>
  <c r="P28" s="1"/>
  <c r="G28"/>
  <c r="J27"/>
  <c r="P27" s="1"/>
  <c r="G27"/>
  <c r="G26"/>
  <c r="J26" s="1"/>
  <c r="J25"/>
  <c r="P25" s="1"/>
  <c r="G25"/>
  <c r="J24"/>
  <c r="P24" s="1"/>
  <c r="G24"/>
  <c r="J23"/>
  <c r="P23" s="1"/>
  <c r="G23"/>
  <c r="R22"/>
  <c r="G22"/>
  <c r="J22" s="1"/>
  <c r="L22" s="1"/>
  <c r="O22" s="1"/>
  <c r="J21"/>
  <c r="P21" s="1"/>
  <c r="G21"/>
  <c r="J20"/>
  <c r="P20" s="1"/>
  <c r="G20"/>
  <c r="G19"/>
  <c r="J19" s="1"/>
  <c r="J18"/>
  <c r="L18" s="1"/>
  <c r="O18" s="1"/>
  <c r="G18"/>
  <c r="J17"/>
  <c r="P17" s="1"/>
  <c r="G17"/>
  <c r="J16"/>
  <c r="P16" s="1"/>
  <c r="G16"/>
  <c r="G15"/>
  <c r="J15" s="1"/>
  <c r="G14"/>
  <c r="J14" s="1"/>
  <c r="L14" s="1"/>
  <c r="O14" s="1"/>
  <c r="J13"/>
  <c r="P13" s="1"/>
  <c r="G13"/>
  <c r="J12"/>
  <c r="P12" s="1"/>
  <c r="G12"/>
  <c r="G11"/>
  <c r="J11" s="1"/>
  <c r="J10"/>
  <c r="P10" s="1"/>
  <c r="G10"/>
  <c r="J9"/>
  <c r="P9" s="1"/>
  <c r="G9"/>
  <c r="G8"/>
  <c r="J8" s="1"/>
  <c r="J7"/>
  <c r="L7" s="1"/>
  <c r="G7"/>
  <c r="L6"/>
  <c r="O6" s="1"/>
  <c r="J6"/>
  <c r="G6"/>
  <c r="M98" i="876"/>
  <c r="K98"/>
  <c r="I98"/>
  <c r="H98"/>
  <c r="F98"/>
  <c r="E98"/>
  <c r="D98"/>
  <c r="L97"/>
  <c r="O97" s="1"/>
  <c r="J97"/>
  <c r="P97" s="1"/>
  <c r="G97"/>
  <c r="J96"/>
  <c r="P96" s="1"/>
  <c r="G96"/>
  <c r="V95"/>
  <c r="J95"/>
  <c r="L95" s="1"/>
  <c r="O95" s="1"/>
  <c r="G95"/>
  <c r="V94"/>
  <c r="J94"/>
  <c r="L94" s="1"/>
  <c r="O94" s="1"/>
  <c r="G94"/>
  <c r="V93"/>
  <c r="J93"/>
  <c r="L93" s="1"/>
  <c r="O93" s="1"/>
  <c r="G93"/>
  <c r="J92"/>
  <c r="P92" s="1"/>
  <c r="G92"/>
  <c r="J91"/>
  <c r="P91" s="1"/>
  <c r="G91"/>
  <c r="V90"/>
  <c r="J90"/>
  <c r="L90" s="1"/>
  <c r="O90" s="1"/>
  <c r="G90"/>
  <c r="V89"/>
  <c r="L89"/>
  <c r="O89" s="1"/>
  <c r="J89"/>
  <c r="P89" s="1"/>
  <c r="G89"/>
  <c r="V88"/>
  <c r="J88"/>
  <c r="L88" s="1"/>
  <c r="O88" s="1"/>
  <c r="G88"/>
  <c r="J87"/>
  <c r="P87" s="1"/>
  <c r="G87"/>
  <c r="V86"/>
  <c r="J86"/>
  <c r="L86" s="1"/>
  <c r="O86" s="1"/>
  <c r="G86"/>
  <c r="V85"/>
  <c r="J85"/>
  <c r="P85" s="1"/>
  <c r="G85"/>
  <c r="J84"/>
  <c r="P84" s="1"/>
  <c r="G84"/>
  <c r="G83"/>
  <c r="J83" s="1"/>
  <c r="R82"/>
  <c r="G82"/>
  <c r="J82" s="1"/>
  <c r="R81"/>
  <c r="G81"/>
  <c r="J81" s="1"/>
  <c r="G80"/>
  <c r="J80" s="1"/>
  <c r="L80" s="1"/>
  <c r="O80" s="1"/>
  <c r="J79"/>
  <c r="P79" s="1"/>
  <c r="G79"/>
  <c r="V78"/>
  <c r="G78"/>
  <c r="J78" s="1"/>
  <c r="J77"/>
  <c r="L77" s="1"/>
  <c r="O77" s="1"/>
  <c r="G77"/>
  <c r="V76"/>
  <c r="G76"/>
  <c r="J76" s="1"/>
  <c r="G75"/>
  <c r="J75" s="1"/>
  <c r="G74"/>
  <c r="J74" s="1"/>
  <c r="L74" s="1"/>
  <c r="O74" s="1"/>
  <c r="G73"/>
  <c r="J73" s="1"/>
  <c r="G72"/>
  <c r="J72" s="1"/>
  <c r="G71"/>
  <c r="J71" s="1"/>
  <c r="G70"/>
  <c r="J70" s="1"/>
  <c r="L70" s="1"/>
  <c r="O70" s="1"/>
  <c r="J69"/>
  <c r="P69" s="1"/>
  <c r="G69"/>
  <c r="V68"/>
  <c r="G68"/>
  <c r="J68" s="1"/>
  <c r="J67"/>
  <c r="L67" s="1"/>
  <c r="O67" s="1"/>
  <c r="G67"/>
  <c r="G66"/>
  <c r="J66" s="1"/>
  <c r="G65"/>
  <c r="J65" s="1"/>
  <c r="V64"/>
  <c r="G64"/>
  <c r="J64" s="1"/>
  <c r="L64" s="1"/>
  <c r="O64" s="1"/>
  <c r="V63"/>
  <c r="G63"/>
  <c r="J63" s="1"/>
  <c r="R62"/>
  <c r="G62"/>
  <c r="J62" s="1"/>
  <c r="L62" s="1"/>
  <c r="O62" s="1"/>
  <c r="G61"/>
  <c r="J61" s="1"/>
  <c r="V60"/>
  <c r="G60"/>
  <c r="J60" s="1"/>
  <c r="G59"/>
  <c r="J59" s="1"/>
  <c r="L59" s="1"/>
  <c r="O59" s="1"/>
  <c r="R58"/>
  <c r="G58"/>
  <c r="J58" s="1"/>
  <c r="V57"/>
  <c r="G57"/>
  <c r="J57" s="1"/>
  <c r="L57" s="1"/>
  <c r="O57" s="1"/>
  <c r="V56"/>
  <c r="G56"/>
  <c r="J56" s="1"/>
  <c r="G55"/>
  <c r="J55" s="1"/>
  <c r="J54"/>
  <c r="L54" s="1"/>
  <c r="O54" s="1"/>
  <c r="G54"/>
  <c r="G53"/>
  <c r="J53" s="1"/>
  <c r="P53" s="1"/>
  <c r="G52"/>
  <c r="J52" s="1"/>
  <c r="V51"/>
  <c r="G51"/>
  <c r="J51" s="1"/>
  <c r="L51" s="1"/>
  <c r="O51" s="1"/>
  <c r="G50"/>
  <c r="J50" s="1"/>
  <c r="G49"/>
  <c r="J49" s="1"/>
  <c r="V48"/>
  <c r="G48"/>
  <c r="J48" s="1"/>
  <c r="L48" s="1"/>
  <c r="O48" s="1"/>
  <c r="V47"/>
  <c r="G47"/>
  <c r="J47" s="1"/>
  <c r="G46"/>
  <c r="J46" s="1"/>
  <c r="G45"/>
  <c r="J45" s="1"/>
  <c r="L45" s="1"/>
  <c r="O45" s="1"/>
  <c r="R44"/>
  <c r="G44"/>
  <c r="J44" s="1"/>
  <c r="G43"/>
  <c r="J43" s="1"/>
  <c r="J42"/>
  <c r="L42" s="1"/>
  <c r="O42" s="1"/>
  <c r="G42"/>
  <c r="V41"/>
  <c r="G41"/>
  <c r="J41" s="1"/>
  <c r="G40"/>
  <c r="J40" s="1"/>
  <c r="V39"/>
  <c r="G39"/>
  <c r="J39" s="1"/>
  <c r="P39" s="1"/>
  <c r="V38"/>
  <c r="G38"/>
  <c r="J38" s="1"/>
  <c r="G37"/>
  <c r="J37" s="1"/>
  <c r="L37" s="1"/>
  <c r="O37" s="1"/>
  <c r="G36"/>
  <c r="J36" s="1"/>
  <c r="V35"/>
  <c r="G35"/>
  <c r="J35" s="1"/>
  <c r="G34"/>
  <c r="J34" s="1"/>
  <c r="L34" s="1"/>
  <c r="O34" s="1"/>
  <c r="G33"/>
  <c r="J33" s="1"/>
  <c r="G32"/>
  <c r="J32" s="1"/>
  <c r="G31"/>
  <c r="J31" s="1"/>
  <c r="G30"/>
  <c r="J30" s="1"/>
  <c r="L30" s="1"/>
  <c r="O30" s="1"/>
  <c r="L29"/>
  <c r="O29" s="1"/>
  <c r="J29"/>
  <c r="P29" s="1"/>
  <c r="G29"/>
  <c r="G28"/>
  <c r="J28" s="1"/>
  <c r="G27"/>
  <c r="J27" s="1"/>
  <c r="J26"/>
  <c r="L26" s="1"/>
  <c r="O26" s="1"/>
  <c r="G26"/>
  <c r="G25"/>
  <c r="J25" s="1"/>
  <c r="P25" s="1"/>
  <c r="G24"/>
  <c r="J24" s="1"/>
  <c r="G23"/>
  <c r="J23" s="1"/>
  <c r="R22"/>
  <c r="G22"/>
  <c r="J22" s="1"/>
  <c r="G21"/>
  <c r="J21" s="1"/>
  <c r="G20"/>
  <c r="J20" s="1"/>
  <c r="G19"/>
  <c r="J19" s="1"/>
  <c r="L19" s="1"/>
  <c r="O19" s="1"/>
  <c r="J18"/>
  <c r="P18" s="1"/>
  <c r="G18"/>
  <c r="G17"/>
  <c r="J17" s="1"/>
  <c r="G16"/>
  <c r="J16" s="1"/>
  <c r="J15"/>
  <c r="L15" s="1"/>
  <c r="O15" s="1"/>
  <c r="G15"/>
  <c r="G14"/>
  <c r="J14" s="1"/>
  <c r="P14" s="1"/>
  <c r="G13"/>
  <c r="J13" s="1"/>
  <c r="G12"/>
  <c r="J12" s="1"/>
  <c r="G11"/>
  <c r="J11" s="1"/>
  <c r="L11" s="1"/>
  <c r="O11" s="1"/>
  <c r="G10"/>
  <c r="J10" s="1"/>
  <c r="G9"/>
  <c r="J9" s="1"/>
  <c r="G8"/>
  <c r="J8" s="1"/>
  <c r="L8" s="1"/>
  <c r="O8" s="1"/>
  <c r="G7"/>
  <c r="J7" s="1"/>
  <c r="G6"/>
  <c r="J6" s="1"/>
  <c r="M98" i="875"/>
  <c r="K98"/>
  <c r="I98"/>
  <c r="H98"/>
  <c r="F98"/>
  <c r="E98"/>
  <c r="D98"/>
  <c r="L97"/>
  <c r="O97" s="1"/>
  <c r="J97"/>
  <c r="P97" s="1"/>
  <c r="G97"/>
  <c r="J96"/>
  <c r="L96" s="1"/>
  <c r="O96" s="1"/>
  <c r="G96"/>
  <c r="V95"/>
  <c r="J95"/>
  <c r="L95" s="1"/>
  <c r="O95" s="1"/>
  <c r="G95"/>
  <c r="V94"/>
  <c r="J94"/>
  <c r="P94" s="1"/>
  <c r="G94"/>
  <c r="V93"/>
  <c r="J93"/>
  <c r="L93" s="1"/>
  <c r="O93" s="1"/>
  <c r="G93"/>
  <c r="J92"/>
  <c r="P92" s="1"/>
  <c r="G92"/>
  <c r="J91"/>
  <c r="L91" s="1"/>
  <c r="O91" s="1"/>
  <c r="G91"/>
  <c r="V90"/>
  <c r="J90"/>
  <c r="L90" s="1"/>
  <c r="O90" s="1"/>
  <c r="G90"/>
  <c r="V89"/>
  <c r="J89"/>
  <c r="P89" s="1"/>
  <c r="G89"/>
  <c r="V88"/>
  <c r="J88"/>
  <c r="L88" s="1"/>
  <c r="O88" s="1"/>
  <c r="G88"/>
  <c r="L87"/>
  <c r="O87" s="1"/>
  <c r="J87"/>
  <c r="P87" s="1"/>
  <c r="G87"/>
  <c r="V86"/>
  <c r="P86"/>
  <c r="J86"/>
  <c r="L86" s="1"/>
  <c r="O86" s="1"/>
  <c r="G86"/>
  <c r="V85"/>
  <c r="L85"/>
  <c r="O85" s="1"/>
  <c r="J85"/>
  <c r="P85" s="1"/>
  <c r="G85"/>
  <c r="J84"/>
  <c r="L84" s="1"/>
  <c r="O84" s="1"/>
  <c r="G84"/>
  <c r="G83"/>
  <c r="J83" s="1"/>
  <c r="R82"/>
  <c r="L82"/>
  <c r="O82" s="1"/>
  <c r="J82"/>
  <c r="P82" s="1"/>
  <c r="G82"/>
  <c r="R81"/>
  <c r="G81"/>
  <c r="J81" s="1"/>
  <c r="J80"/>
  <c r="L80" s="1"/>
  <c r="O80" s="1"/>
  <c r="G80"/>
  <c r="G79"/>
  <c r="J79" s="1"/>
  <c r="P79" s="1"/>
  <c r="V78"/>
  <c r="G78"/>
  <c r="J78" s="1"/>
  <c r="G77"/>
  <c r="J77" s="1"/>
  <c r="L77" s="1"/>
  <c r="O77" s="1"/>
  <c r="V76"/>
  <c r="G76"/>
  <c r="J76" s="1"/>
  <c r="G75"/>
  <c r="J75" s="1"/>
  <c r="J74"/>
  <c r="L74" s="1"/>
  <c r="O74" s="1"/>
  <c r="G74"/>
  <c r="G73"/>
  <c r="J73" s="1"/>
  <c r="P73" s="1"/>
  <c r="G72"/>
  <c r="J72" s="1"/>
  <c r="G71"/>
  <c r="J71" s="1"/>
  <c r="G70"/>
  <c r="J70" s="1"/>
  <c r="L70" s="1"/>
  <c r="O70" s="1"/>
  <c r="G69"/>
  <c r="J69" s="1"/>
  <c r="V68"/>
  <c r="G68"/>
  <c r="J68" s="1"/>
  <c r="G67"/>
  <c r="J67" s="1"/>
  <c r="L67" s="1"/>
  <c r="O67" s="1"/>
  <c r="L66"/>
  <c r="O66" s="1"/>
  <c r="J66"/>
  <c r="P66" s="1"/>
  <c r="G66"/>
  <c r="G65"/>
  <c r="J65" s="1"/>
  <c r="V64"/>
  <c r="J64"/>
  <c r="L64" s="1"/>
  <c r="O64" s="1"/>
  <c r="G64"/>
  <c r="V63"/>
  <c r="G63"/>
  <c r="J63" s="1"/>
  <c r="R62"/>
  <c r="G62"/>
  <c r="J62" s="1"/>
  <c r="L62" s="1"/>
  <c r="O62" s="1"/>
  <c r="J61"/>
  <c r="P61" s="1"/>
  <c r="G61"/>
  <c r="V60"/>
  <c r="G60"/>
  <c r="J60" s="1"/>
  <c r="J59"/>
  <c r="L59" s="1"/>
  <c r="O59" s="1"/>
  <c r="G59"/>
  <c r="R58"/>
  <c r="G58"/>
  <c r="J58" s="1"/>
  <c r="V57"/>
  <c r="G57"/>
  <c r="J57" s="1"/>
  <c r="L57" s="1"/>
  <c r="O57" s="1"/>
  <c r="V56"/>
  <c r="G56"/>
  <c r="J56" s="1"/>
  <c r="G55"/>
  <c r="J55" s="1"/>
  <c r="J54"/>
  <c r="L54" s="1"/>
  <c r="O54" s="1"/>
  <c r="G54"/>
  <c r="G53"/>
  <c r="J53" s="1"/>
  <c r="G52"/>
  <c r="J52" s="1"/>
  <c r="V51"/>
  <c r="G51"/>
  <c r="J51" s="1"/>
  <c r="L51" s="1"/>
  <c r="O51" s="1"/>
  <c r="J50"/>
  <c r="P50" s="1"/>
  <c r="G50"/>
  <c r="G49"/>
  <c r="J49" s="1"/>
  <c r="V48"/>
  <c r="J48"/>
  <c r="L48" s="1"/>
  <c r="O48" s="1"/>
  <c r="G48"/>
  <c r="V47"/>
  <c r="G47"/>
  <c r="J47" s="1"/>
  <c r="G46"/>
  <c r="J46" s="1"/>
  <c r="G45"/>
  <c r="J45" s="1"/>
  <c r="L45" s="1"/>
  <c r="O45" s="1"/>
  <c r="R44"/>
  <c r="G44"/>
  <c r="J44" s="1"/>
  <c r="G43"/>
  <c r="J43" s="1"/>
  <c r="J42"/>
  <c r="L42" s="1"/>
  <c r="O42" s="1"/>
  <c r="G42"/>
  <c r="V41"/>
  <c r="G41"/>
  <c r="J41" s="1"/>
  <c r="G40"/>
  <c r="J40" s="1"/>
  <c r="V39"/>
  <c r="G39"/>
  <c r="J39" s="1"/>
  <c r="V38"/>
  <c r="G38"/>
  <c r="J38" s="1"/>
  <c r="G37"/>
  <c r="J37" s="1"/>
  <c r="L37" s="1"/>
  <c r="O37" s="1"/>
  <c r="J36"/>
  <c r="P36" s="1"/>
  <c r="G36"/>
  <c r="V35"/>
  <c r="G35"/>
  <c r="J35" s="1"/>
  <c r="J34"/>
  <c r="L34" s="1"/>
  <c r="O34" s="1"/>
  <c r="G34"/>
  <c r="G33"/>
  <c r="J33" s="1"/>
  <c r="G32"/>
  <c r="J32" s="1"/>
  <c r="G31"/>
  <c r="J31" s="1"/>
  <c r="G30"/>
  <c r="J30" s="1"/>
  <c r="L30" s="1"/>
  <c r="O30" s="1"/>
  <c r="J29"/>
  <c r="P29" s="1"/>
  <c r="G29"/>
  <c r="G28"/>
  <c r="J28" s="1"/>
  <c r="G27"/>
  <c r="J27" s="1"/>
  <c r="J26"/>
  <c r="L26" s="1"/>
  <c r="O26" s="1"/>
  <c r="G26"/>
  <c r="G25"/>
  <c r="J25" s="1"/>
  <c r="G24"/>
  <c r="J24" s="1"/>
  <c r="G23"/>
  <c r="J23" s="1"/>
  <c r="R22"/>
  <c r="J22"/>
  <c r="P22" s="1"/>
  <c r="G22"/>
  <c r="G21"/>
  <c r="J21" s="1"/>
  <c r="G20"/>
  <c r="J20" s="1"/>
  <c r="J19"/>
  <c r="L19" s="1"/>
  <c r="O19" s="1"/>
  <c r="G19"/>
  <c r="G18"/>
  <c r="J18" s="1"/>
  <c r="P18" s="1"/>
  <c r="G17"/>
  <c r="J17" s="1"/>
  <c r="G16"/>
  <c r="J16" s="1"/>
  <c r="G15"/>
  <c r="J15" s="1"/>
  <c r="L15" s="1"/>
  <c r="O15" s="1"/>
  <c r="G14"/>
  <c r="J14" s="1"/>
  <c r="G13"/>
  <c r="J13" s="1"/>
  <c r="G12"/>
  <c r="J12" s="1"/>
  <c r="G11"/>
  <c r="J11" s="1"/>
  <c r="L11" s="1"/>
  <c r="O11" s="1"/>
  <c r="G10"/>
  <c r="J10" s="1"/>
  <c r="G9"/>
  <c r="J9" s="1"/>
  <c r="G8"/>
  <c r="J8" s="1"/>
  <c r="L8" s="1"/>
  <c r="O8" s="1"/>
  <c r="J7"/>
  <c r="P7" s="1"/>
  <c r="G7"/>
  <c r="G6"/>
  <c r="J6" s="1"/>
  <c r="M98" i="874"/>
  <c r="K98"/>
  <c r="I98"/>
  <c r="H98"/>
  <c r="F98"/>
  <c r="E98"/>
  <c r="D98"/>
  <c r="J97"/>
  <c r="P97" s="1"/>
  <c r="G97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L92"/>
  <c r="O92" s="1"/>
  <c r="J92"/>
  <c r="P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L87"/>
  <c r="O87" s="1"/>
  <c r="J87"/>
  <c r="P87" s="1"/>
  <c r="G87"/>
  <c r="V86"/>
  <c r="L86"/>
  <c r="O86" s="1"/>
  <c r="J86"/>
  <c r="P86" s="1"/>
  <c r="G86"/>
  <c r="V85"/>
  <c r="J85"/>
  <c r="P85" s="1"/>
  <c r="G85"/>
  <c r="J84"/>
  <c r="P84" s="1"/>
  <c r="G84"/>
  <c r="G83"/>
  <c r="J83" s="1"/>
  <c r="R82"/>
  <c r="G82"/>
  <c r="J82" s="1"/>
  <c r="R81"/>
  <c r="G81"/>
  <c r="J81" s="1"/>
  <c r="G80"/>
  <c r="J80" s="1"/>
  <c r="L80" s="1"/>
  <c r="O80" s="1"/>
  <c r="G79"/>
  <c r="J79" s="1"/>
  <c r="V78"/>
  <c r="G78"/>
  <c r="J78" s="1"/>
  <c r="J77"/>
  <c r="L77" s="1"/>
  <c r="O77" s="1"/>
  <c r="G77"/>
  <c r="V76"/>
  <c r="G76"/>
  <c r="J76" s="1"/>
  <c r="P76" s="1"/>
  <c r="G75"/>
  <c r="J75" s="1"/>
  <c r="J74"/>
  <c r="L74" s="1"/>
  <c r="O74" s="1"/>
  <c r="G74"/>
  <c r="G73"/>
  <c r="J73" s="1"/>
  <c r="G72"/>
  <c r="J72" s="1"/>
  <c r="P72" s="1"/>
  <c r="G71"/>
  <c r="J71" s="1"/>
  <c r="G70"/>
  <c r="J70" s="1"/>
  <c r="L70" s="1"/>
  <c r="O70" s="1"/>
  <c r="G69"/>
  <c r="J69" s="1"/>
  <c r="V68"/>
  <c r="G68"/>
  <c r="J68" s="1"/>
  <c r="G67"/>
  <c r="J67" s="1"/>
  <c r="L67" s="1"/>
  <c r="O67" s="1"/>
  <c r="G66"/>
  <c r="J66" s="1"/>
  <c r="J65"/>
  <c r="P65" s="1"/>
  <c r="G65"/>
  <c r="V64"/>
  <c r="J64"/>
  <c r="L64" s="1"/>
  <c r="O64" s="1"/>
  <c r="G64"/>
  <c r="V63"/>
  <c r="J63"/>
  <c r="P63" s="1"/>
  <c r="G63"/>
  <c r="R62"/>
  <c r="G62"/>
  <c r="J62" s="1"/>
  <c r="L62" s="1"/>
  <c r="O62" s="1"/>
  <c r="G61"/>
  <c r="J61" s="1"/>
  <c r="V60"/>
  <c r="G60"/>
  <c r="J60" s="1"/>
  <c r="G59"/>
  <c r="J59" s="1"/>
  <c r="L59" s="1"/>
  <c r="O59" s="1"/>
  <c r="R58"/>
  <c r="G58"/>
  <c r="J58" s="1"/>
  <c r="P58" s="1"/>
  <c r="V57"/>
  <c r="J57"/>
  <c r="L57" s="1"/>
  <c r="O57" s="1"/>
  <c r="G57"/>
  <c r="V56"/>
  <c r="G56"/>
  <c r="J56" s="1"/>
  <c r="P56" s="1"/>
  <c r="G55"/>
  <c r="J55" s="1"/>
  <c r="J54"/>
  <c r="L54" s="1"/>
  <c r="O54" s="1"/>
  <c r="G54"/>
  <c r="G53"/>
  <c r="J53" s="1"/>
  <c r="G52"/>
  <c r="J52" s="1"/>
  <c r="P52" s="1"/>
  <c r="V51"/>
  <c r="G51"/>
  <c r="J51" s="1"/>
  <c r="L51" s="1"/>
  <c r="O51" s="1"/>
  <c r="G50"/>
  <c r="J50" s="1"/>
  <c r="J49"/>
  <c r="P49" s="1"/>
  <c r="G49"/>
  <c r="V48"/>
  <c r="J48"/>
  <c r="L48" s="1"/>
  <c r="O48" s="1"/>
  <c r="G48"/>
  <c r="V47"/>
  <c r="G47"/>
  <c r="J47" s="1"/>
  <c r="P47" s="1"/>
  <c r="G46"/>
  <c r="J46" s="1"/>
  <c r="J45"/>
  <c r="L45" s="1"/>
  <c r="O45" s="1"/>
  <c r="G45"/>
  <c r="R44"/>
  <c r="J44"/>
  <c r="P44" s="1"/>
  <c r="G44"/>
  <c r="G43"/>
  <c r="J43" s="1"/>
  <c r="J42"/>
  <c r="L42" s="1"/>
  <c r="O42" s="1"/>
  <c r="G42"/>
  <c r="V41"/>
  <c r="G41"/>
  <c r="J41" s="1"/>
  <c r="P41" s="1"/>
  <c r="G40"/>
  <c r="J40" s="1"/>
  <c r="V39"/>
  <c r="G39"/>
  <c r="J39" s="1"/>
  <c r="V38"/>
  <c r="G38"/>
  <c r="J38" s="1"/>
  <c r="J37"/>
  <c r="L37" s="1"/>
  <c r="O37" s="1"/>
  <c r="G37"/>
  <c r="G36"/>
  <c r="J36" s="1"/>
  <c r="V35"/>
  <c r="G35"/>
  <c r="J35" s="1"/>
  <c r="G34"/>
  <c r="J34" s="1"/>
  <c r="L34" s="1"/>
  <c r="O34" s="1"/>
  <c r="G33"/>
  <c r="J33" s="1"/>
  <c r="J32"/>
  <c r="P32" s="1"/>
  <c r="G32"/>
  <c r="G31"/>
  <c r="J31" s="1"/>
  <c r="G30"/>
  <c r="J30" s="1"/>
  <c r="L30" s="1"/>
  <c r="O30" s="1"/>
  <c r="G29"/>
  <c r="J29" s="1"/>
  <c r="J28"/>
  <c r="P28" s="1"/>
  <c r="G28"/>
  <c r="G27"/>
  <c r="J27" s="1"/>
  <c r="G26"/>
  <c r="J26" s="1"/>
  <c r="L26" s="1"/>
  <c r="O26" s="1"/>
  <c r="G25"/>
  <c r="J25" s="1"/>
  <c r="G24"/>
  <c r="J24" s="1"/>
  <c r="P24" s="1"/>
  <c r="G23"/>
  <c r="J23" s="1"/>
  <c r="R22"/>
  <c r="G22"/>
  <c r="J22" s="1"/>
  <c r="G21"/>
  <c r="J21" s="1"/>
  <c r="P21" s="1"/>
  <c r="G20"/>
  <c r="J20" s="1"/>
  <c r="J19"/>
  <c r="L19" s="1"/>
  <c r="O19" s="1"/>
  <c r="G19"/>
  <c r="G18"/>
  <c r="J18" s="1"/>
  <c r="J17"/>
  <c r="P17" s="1"/>
  <c r="G17"/>
  <c r="G16"/>
  <c r="J16" s="1"/>
  <c r="J15"/>
  <c r="L15" s="1"/>
  <c r="O15" s="1"/>
  <c r="G15"/>
  <c r="G14"/>
  <c r="J14" s="1"/>
  <c r="G13"/>
  <c r="J13" s="1"/>
  <c r="P13" s="1"/>
  <c r="G12"/>
  <c r="J12" s="1"/>
  <c r="J11"/>
  <c r="L11" s="1"/>
  <c r="O11" s="1"/>
  <c r="G11"/>
  <c r="G10"/>
  <c r="J10" s="1"/>
  <c r="P10" s="1"/>
  <c r="G9"/>
  <c r="J9" s="1"/>
  <c r="G8"/>
  <c r="J8" s="1"/>
  <c r="L8" s="1"/>
  <c r="O8" s="1"/>
  <c r="G7"/>
  <c r="J7" s="1"/>
  <c r="G6"/>
  <c r="J6" s="1"/>
  <c r="O98" i="885" l="1"/>
  <c r="Q98" s="1"/>
  <c r="Q6"/>
  <c r="O98" i="884"/>
  <c r="Q98" s="1"/>
  <c r="Q6"/>
  <c r="O98" i="883"/>
  <c r="Q98" s="1"/>
  <c r="Q6"/>
  <c r="L98" i="882"/>
  <c r="O6"/>
  <c r="Q10"/>
  <c r="P98"/>
  <c r="P101" s="1"/>
  <c r="L98" i="881"/>
  <c r="O6"/>
  <c r="Q10"/>
  <c r="P98"/>
  <c r="P101" s="1"/>
  <c r="Q10" i="880"/>
  <c r="O6"/>
  <c r="L98"/>
  <c r="P98"/>
  <c r="P101" s="1"/>
  <c r="G98" i="879"/>
  <c r="J6"/>
  <c r="G6" i="878"/>
  <c r="J6" s="1"/>
  <c r="L6" s="1"/>
  <c r="P61"/>
  <c r="L61"/>
  <c r="O61" s="1"/>
  <c r="P50"/>
  <c r="L50"/>
  <c r="O50" s="1"/>
  <c r="P7"/>
  <c r="L7"/>
  <c r="O7" s="1"/>
  <c r="L66"/>
  <c r="O66" s="1"/>
  <c r="P84"/>
  <c r="L36"/>
  <c r="O36" s="1"/>
  <c r="L85"/>
  <c r="O85" s="1"/>
  <c r="P86"/>
  <c r="L87"/>
  <c r="O87" s="1"/>
  <c r="P25"/>
  <c r="L25"/>
  <c r="O25" s="1"/>
  <c r="P29"/>
  <c r="L29"/>
  <c r="O29" s="1"/>
  <c r="P53"/>
  <c r="L53"/>
  <c r="O53" s="1"/>
  <c r="P79"/>
  <c r="L79"/>
  <c r="O79" s="1"/>
  <c r="P14"/>
  <c r="L14"/>
  <c r="O14" s="1"/>
  <c r="P18"/>
  <c r="L18"/>
  <c r="O18" s="1"/>
  <c r="P69"/>
  <c r="L69"/>
  <c r="O69" s="1"/>
  <c r="P73"/>
  <c r="L73"/>
  <c r="O73" s="1"/>
  <c r="P39"/>
  <c r="L39"/>
  <c r="O39" s="1"/>
  <c r="P91"/>
  <c r="L92"/>
  <c r="O92" s="1"/>
  <c r="L22"/>
  <c r="O22" s="1"/>
  <c r="L33"/>
  <c r="O33" s="1"/>
  <c r="L82"/>
  <c r="O82" s="1"/>
  <c r="L89"/>
  <c r="O89" s="1"/>
  <c r="L96"/>
  <c r="O96" s="1"/>
  <c r="P20"/>
  <c r="L20"/>
  <c r="O20" s="1"/>
  <c r="L31"/>
  <c r="O31" s="1"/>
  <c r="P31"/>
  <c r="L40"/>
  <c r="O40" s="1"/>
  <c r="P40"/>
  <c r="P49"/>
  <c r="L49"/>
  <c r="O49" s="1"/>
  <c r="P65"/>
  <c r="L65"/>
  <c r="O65" s="1"/>
  <c r="L75"/>
  <c r="O75" s="1"/>
  <c r="P75"/>
  <c r="L81"/>
  <c r="O81" s="1"/>
  <c r="P81"/>
  <c r="P10"/>
  <c r="L10"/>
  <c r="O10" s="1"/>
  <c r="P13"/>
  <c r="L13"/>
  <c r="O13" s="1"/>
  <c r="P24"/>
  <c r="L24"/>
  <c r="O24" s="1"/>
  <c r="L35"/>
  <c r="O35" s="1"/>
  <c r="P35"/>
  <c r="P47"/>
  <c r="L47"/>
  <c r="O47" s="1"/>
  <c r="P52"/>
  <c r="L52"/>
  <c r="O52" s="1"/>
  <c r="P58"/>
  <c r="L58"/>
  <c r="O58" s="1"/>
  <c r="P60"/>
  <c r="L60"/>
  <c r="O60" s="1"/>
  <c r="P63"/>
  <c r="L63"/>
  <c r="O63" s="1"/>
  <c r="L9"/>
  <c r="O9" s="1"/>
  <c r="P9"/>
  <c r="L12"/>
  <c r="O12" s="1"/>
  <c r="P12"/>
  <c r="P17"/>
  <c r="L17"/>
  <c r="O17" s="1"/>
  <c r="P23"/>
  <c r="L23"/>
  <c r="O23" s="1"/>
  <c r="P28"/>
  <c r="L28"/>
  <c r="O28" s="1"/>
  <c r="P38"/>
  <c r="L38"/>
  <c r="O38" s="1"/>
  <c r="P44"/>
  <c r="L44"/>
  <c r="O44" s="1"/>
  <c r="L46"/>
  <c r="O46" s="1"/>
  <c r="P46"/>
  <c r="P56"/>
  <c r="L56"/>
  <c r="O56" s="1"/>
  <c r="P68"/>
  <c r="L68"/>
  <c r="O68" s="1"/>
  <c r="P72"/>
  <c r="L72"/>
  <c r="O72" s="1"/>
  <c r="P83"/>
  <c r="L83"/>
  <c r="O83" s="1"/>
  <c r="L16"/>
  <c r="O16" s="1"/>
  <c r="P16"/>
  <c r="P21"/>
  <c r="L21"/>
  <c r="O21" s="1"/>
  <c r="L27"/>
  <c r="O27" s="1"/>
  <c r="P27"/>
  <c r="P32"/>
  <c r="L32"/>
  <c r="O32" s="1"/>
  <c r="P41"/>
  <c r="L41"/>
  <c r="O41" s="1"/>
  <c r="L43"/>
  <c r="O43" s="1"/>
  <c r="P43"/>
  <c r="L55"/>
  <c r="O55" s="1"/>
  <c r="P55"/>
  <c r="L71"/>
  <c r="O71" s="1"/>
  <c r="P71"/>
  <c r="P76"/>
  <c r="L76"/>
  <c r="O76" s="1"/>
  <c r="L78"/>
  <c r="O78" s="1"/>
  <c r="P78"/>
  <c r="P8"/>
  <c r="P11"/>
  <c r="P26"/>
  <c r="P48"/>
  <c r="P59"/>
  <c r="P67"/>
  <c r="P70"/>
  <c r="P74"/>
  <c r="P77"/>
  <c r="P80"/>
  <c r="P90"/>
  <c r="P93"/>
  <c r="P95"/>
  <c r="P15"/>
  <c r="P19"/>
  <c r="P30"/>
  <c r="P34"/>
  <c r="P37"/>
  <c r="P42"/>
  <c r="P45"/>
  <c r="P51"/>
  <c r="P54"/>
  <c r="P57"/>
  <c r="P62"/>
  <c r="P64"/>
  <c r="P88"/>
  <c r="P55" i="877"/>
  <c r="L55"/>
  <c r="O55" s="1"/>
  <c r="P60"/>
  <c r="L60"/>
  <c r="O60" s="1"/>
  <c r="P56"/>
  <c r="L56"/>
  <c r="O56" s="1"/>
  <c r="L9"/>
  <c r="O9" s="1"/>
  <c r="L10"/>
  <c r="O10" s="1"/>
  <c r="Q10" s="1"/>
  <c r="L12"/>
  <c r="O12" s="1"/>
  <c r="L13"/>
  <c r="O13" s="1"/>
  <c r="L20"/>
  <c r="O20" s="1"/>
  <c r="L21"/>
  <c r="O21" s="1"/>
  <c r="L27"/>
  <c r="O27" s="1"/>
  <c r="L28"/>
  <c r="O28" s="1"/>
  <c r="L35"/>
  <c r="O35" s="1"/>
  <c r="L38"/>
  <c r="O38" s="1"/>
  <c r="L40"/>
  <c r="O40" s="1"/>
  <c r="L41"/>
  <c r="O41" s="1"/>
  <c r="L44"/>
  <c r="O44" s="1"/>
  <c r="L49"/>
  <c r="O49" s="1"/>
  <c r="P52"/>
  <c r="L52"/>
  <c r="O52" s="1"/>
  <c r="P72"/>
  <c r="L72"/>
  <c r="O72" s="1"/>
  <c r="P65"/>
  <c r="L65"/>
  <c r="O65" s="1"/>
  <c r="P58"/>
  <c r="L58"/>
  <c r="O58" s="1"/>
  <c r="L16"/>
  <c r="O16" s="1"/>
  <c r="L17"/>
  <c r="O17" s="1"/>
  <c r="L23"/>
  <c r="O23" s="1"/>
  <c r="L24"/>
  <c r="O24" s="1"/>
  <c r="L31"/>
  <c r="O31" s="1"/>
  <c r="L32"/>
  <c r="O32" s="1"/>
  <c r="L46"/>
  <c r="O46" s="1"/>
  <c r="L47"/>
  <c r="O47" s="1"/>
  <c r="L76"/>
  <c r="O76" s="1"/>
  <c r="L84"/>
  <c r="O84" s="1"/>
  <c r="G98"/>
  <c r="L11"/>
  <c r="O11" s="1"/>
  <c r="P11"/>
  <c r="L26"/>
  <c r="O26" s="1"/>
  <c r="P26"/>
  <c r="L37"/>
  <c r="O37" s="1"/>
  <c r="P37"/>
  <c r="L59"/>
  <c r="O59" s="1"/>
  <c r="P59"/>
  <c r="L80"/>
  <c r="O80" s="1"/>
  <c r="P80"/>
  <c r="O7"/>
  <c r="L71"/>
  <c r="O71" s="1"/>
  <c r="P71"/>
  <c r="L77"/>
  <c r="O77" s="1"/>
  <c r="P77"/>
  <c r="L15"/>
  <c r="O15" s="1"/>
  <c r="P15"/>
  <c r="L57"/>
  <c r="O57" s="1"/>
  <c r="P57"/>
  <c r="L42"/>
  <c r="O42" s="1"/>
  <c r="P42"/>
  <c r="L54"/>
  <c r="O54" s="1"/>
  <c r="P54"/>
  <c r="L67"/>
  <c r="O67" s="1"/>
  <c r="P67"/>
  <c r="L74"/>
  <c r="O74" s="1"/>
  <c r="P74"/>
  <c r="L81"/>
  <c r="O81" s="1"/>
  <c r="P81"/>
  <c r="L8"/>
  <c r="O8" s="1"/>
  <c r="P8"/>
  <c r="L19"/>
  <c r="O19" s="1"/>
  <c r="P19"/>
  <c r="L34"/>
  <c r="O34" s="1"/>
  <c r="P34"/>
  <c r="L62"/>
  <c r="O62" s="1"/>
  <c r="P62"/>
  <c r="P78"/>
  <c r="L78"/>
  <c r="O78" s="1"/>
  <c r="L48"/>
  <c r="O48" s="1"/>
  <c r="P48"/>
  <c r="L30"/>
  <c r="O30" s="1"/>
  <c r="P30"/>
  <c r="L45"/>
  <c r="O45" s="1"/>
  <c r="P45"/>
  <c r="L51"/>
  <c r="O51" s="1"/>
  <c r="P51"/>
  <c r="L64"/>
  <c r="O64" s="1"/>
  <c r="P64"/>
  <c r="P68"/>
  <c r="L68"/>
  <c r="O68" s="1"/>
  <c r="L70"/>
  <c r="O70" s="1"/>
  <c r="P70"/>
  <c r="L75"/>
  <c r="O75" s="1"/>
  <c r="P75"/>
  <c r="P83"/>
  <c r="L83"/>
  <c r="O83" s="1"/>
  <c r="J98"/>
  <c r="P7"/>
  <c r="P14"/>
  <c r="P18"/>
  <c r="P22"/>
  <c r="P33"/>
  <c r="P36"/>
  <c r="P53"/>
  <c r="P66"/>
  <c r="P79"/>
  <c r="P92"/>
  <c r="P97"/>
  <c r="P6"/>
  <c r="Q6" s="1"/>
  <c r="L25"/>
  <c r="O25" s="1"/>
  <c r="L29"/>
  <c r="O29" s="1"/>
  <c r="L39"/>
  <c r="O39" s="1"/>
  <c r="L50"/>
  <c r="O50" s="1"/>
  <c r="L61"/>
  <c r="O61" s="1"/>
  <c r="L69"/>
  <c r="O69" s="1"/>
  <c r="L73"/>
  <c r="O73" s="1"/>
  <c r="L82"/>
  <c r="O82" s="1"/>
  <c r="L85"/>
  <c r="O85" s="1"/>
  <c r="L87"/>
  <c r="O87" s="1"/>
  <c r="L18" i="876"/>
  <c r="O18" s="1"/>
  <c r="P73"/>
  <c r="L73"/>
  <c r="O73" s="1"/>
  <c r="P94"/>
  <c r="L84"/>
  <c r="O84" s="1"/>
  <c r="L96"/>
  <c r="O96" s="1"/>
  <c r="L79"/>
  <c r="O79" s="1"/>
  <c r="L91"/>
  <c r="O91" s="1"/>
  <c r="P22"/>
  <c r="L22"/>
  <c r="O22" s="1"/>
  <c r="P33"/>
  <c r="L33"/>
  <c r="O33" s="1"/>
  <c r="P36"/>
  <c r="L36"/>
  <c r="O36" s="1"/>
  <c r="P50"/>
  <c r="L50"/>
  <c r="O50" s="1"/>
  <c r="P61"/>
  <c r="L61"/>
  <c r="O61" s="1"/>
  <c r="P7"/>
  <c r="L7"/>
  <c r="O7" s="1"/>
  <c r="P66"/>
  <c r="L66"/>
  <c r="O66" s="1"/>
  <c r="P82"/>
  <c r="L82"/>
  <c r="O82" s="1"/>
  <c r="L14"/>
  <c r="O14" s="1"/>
  <c r="L25"/>
  <c r="O25" s="1"/>
  <c r="L39"/>
  <c r="O39" s="1"/>
  <c r="L53"/>
  <c r="O53" s="1"/>
  <c r="L69"/>
  <c r="O69" s="1"/>
  <c r="L85"/>
  <c r="O85" s="1"/>
  <c r="P86"/>
  <c r="L87"/>
  <c r="O87" s="1"/>
  <c r="L92"/>
  <c r="O92" s="1"/>
  <c r="L16"/>
  <c r="O16" s="1"/>
  <c r="P16"/>
  <c r="P21"/>
  <c r="L21"/>
  <c r="O21" s="1"/>
  <c r="P27"/>
  <c r="L27"/>
  <c r="O27" s="1"/>
  <c r="P32"/>
  <c r="L32"/>
  <c r="O32" s="1"/>
  <c r="P41"/>
  <c r="L41"/>
  <c r="O41" s="1"/>
  <c r="L43"/>
  <c r="O43" s="1"/>
  <c r="P43"/>
  <c r="L55"/>
  <c r="O55" s="1"/>
  <c r="P55"/>
  <c r="P71"/>
  <c r="L71"/>
  <c r="O71" s="1"/>
  <c r="P76"/>
  <c r="L76"/>
  <c r="O76" s="1"/>
  <c r="P78"/>
  <c r="L78"/>
  <c r="O78" s="1"/>
  <c r="J98"/>
  <c r="P6"/>
  <c r="L6"/>
  <c r="P20"/>
  <c r="L20"/>
  <c r="O20" s="1"/>
  <c r="L31"/>
  <c r="O31" s="1"/>
  <c r="P31"/>
  <c r="P40"/>
  <c r="L40"/>
  <c r="O40" s="1"/>
  <c r="P49"/>
  <c r="L49"/>
  <c r="O49" s="1"/>
  <c r="P65"/>
  <c r="L65"/>
  <c r="O65" s="1"/>
  <c r="P75"/>
  <c r="L75"/>
  <c r="O75" s="1"/>
  <c r="P81"/>
  <c r="L81"/>
  <c r="O81" s="1"/>
  <c r="P10"/>
  <c r="L10"/>
  <c r="O10" s="1"/>
  <c r="P13"/>
  <c r="L13"/>
  <c r="O13" s="1"/>
  <c r="P24"/>
  <c r="L24"/>
  <c r="O24" s="1"/>
  <c r="L35"/>
  <c r="O35" s="1"/>
  <c r="P35"/>
  <c r="P47"/>
  <c r="L47"/>
  <c r="O47" s="1"/>
  <c r="P52"/>
  <c r="L52"/>
  <c r="O52" s="1"/>
  <c r="P58"/>
  <c r="L58"/>
  <c r="O58" s="1"/>
  <c r="P60"/>
  <c r="L60"/>
  <c r="O60" s="1"/>
  <c r="P63"/>
  <c r="L63"/>
  <c r="O63" s="1"/>
  <c r="P9"/>
  <c r="L9"/>
  <c r="O9" s="1"/>
  <c r="L12"/>
  <c r="O12" s="1"/>
  <c r="P12"/>
  <c r="P17"/>
  <c r="L17"/>
  <c r="O17" s="1"/>
  <c r="P23"/>
  <c r="L23"/>
  <c r="O23" s="1"/>
  <c r="P28"/>
  <c r="L28"/>
  <c r="O28" s="1"/>
  <c r="L38"/>
  <c r="O38" s="1"/>
  <c r="P38"/>
  <c r="P44"/>
  <c r="L44"/>
  <c r="O44" s="1"/>
  <c r="L46"/>
  <c r="O46" s="1"/>
  <c r="P46"/>
  <c r="P56"/>
  <c r="L56"/>
  <c r="O56" s="1"/>
  <c r="P68"/>
  <c r="L68"/>
  <c r="O68" s="1"/>
  <c r="P72"/>
  <c r="L72"/>
  <c r="O72" s="1"/>
  <c r="L83"/>
  <c r="O83" s="1"/>
  <c r="P83"/>
  <c r="P15"/>
  <c r="P19"/>
  <c r="P30"/>
  <c r="P34"/>
  <c r="P37"/>
  <c r="P42"/>
  <c r="P45"/>
  <c r="P48"/>
  <c r="P51"/>
  <c r="P57"/>
  <c r="P59"/>
  <c r="P67"/>
  <c r="P70"/>
  <c r="P74"/>
  <c r="P77"/>
  <c r="P80"/>
  <c r="P88"/>
  <c r="P90"/>
  <c r="P93"/>
  <c r="P95"/>
  <c r="G98"/>
  <c r="P8"/>
  <c r="P11"/>
  <c r="P26"/>
  <c r="P54"/>
  <c r="P62"/>
  <c r="P64"/>
  <c r="L94" i="875"/>
  <c r="O94" s="1"/>
  <c r="P33"/>
  <c r="L33"/>
  <c r="O33" s="1"/>
  <c r="L92"/>
  <c r="O92" s="1"/>
  <c r="L7"/>
  <c r="O7" s="1"/>
  <c r="L22"/>
  <c r="O22" s="1"/>
  <c r="L36"/>
  <c r="O36" s="1"/>
  <c r="L50"/>
  <c r="O50" s="1"/>
  <c r="L61"/>
  <c r="O61" s="1"/>
  <c r="L89"/>
  <c r="O89" s="1"/>
  <c r="P14"/>
  <c r="L14"/>
  <c r="O14" s="1"/>
  <c r="P69"/>
  <c r="L69"/>
  <c r="O69" s="1"/>
  <c r="P25"/>
  <c r="L25"/>
  <c r="O25" s="1"/>
  <c r="P39"/>
  <c r="L39"/>
  <c r="O39" s="1"/>
  <c r="P53"/>
  <c r="L53"/>
  <c r="O53" s="1"/>
  <c r="P84"/>
  <c r="P91"/>
  <c r="P96"/>
  <c r="L18"/>
  <c r="O18" s="1"/>
  <c r="L29"/>
  <c r="O29" s="1"/>
  <c r="L73"/>
  <c r="O73" s="1"/>
  <c r="L79"/>
  <c r="O79" s="1"/>
  <c r="P16"/>
  <c r="L16"/>
  <c r="O16" s="1"/>
  <c r="P21"/>
  <c r="L21"/>
  <c r="O21" s="1"/>
  <c r="P27"/>
  <c r="L27"/>
  <c r="O27" s="1"/>
  <c r="P32"/>
  <c r="L32"/>
  <c r="O32" s="1"/>
  <c r="P41"/>
  <c r="L41"/>
  <c r="O41" s="1"/>
  <c r="L43"/>
  <c r="O43" s="1"/>
  <c r="P43"/>
  <c r="L55"/>
  <c r="O55" s="1"/>
  <c r="P55"/>
  <c r="P71"/>
  <c r="L71"/>
  <c r="O71" s="1"/>
  <c r="P76"/>
  <c r="L76"/>
  <c r="O76" s="1"/>
  <c r="L78"/>
  <c r="O78" s="1"/>
  <c r="P78"/>
  <c r="J98"/>
  <c r="P6"/>
  <c r="L6"/>
  <c r="L20"/>
  <c r="O20" s="1"/>
  <c r="P20"/>
  <c r="L31"/>
  <c r="O31" s="1"/>
  <c r="P31"/>
  <c r="L40"/>
  <c r="O40" s="1"/>
  <c r="P40"/>
  <c r="P49"/>
  <c r="L49"/>
  <c r="O49" s="1"/>
  <c r="P65"/>
  <c r="L65"/>
  <c r="O65" s="1"/>
  <c r="L75"/>
  <c r="O75" s="1"/>
  <c r="P75"/>
  <c r="P81"/>
  <c r="L81"/>
  <c r="O81" s="1"/>
  <c r="P10"/>
  <c r="L10"/>
  <c r="O10" s="1"/>
  <c r="P13"/>
  <c r="L13"/>
  <c r="O13" s="1"/>
  <c r="P24"/>
  <c r="L24"/>
  <c r="O24" s="1"/>
  <c r="P35"/>
  <c r="L35"/>
  <c r="O35" s="1"/>
  <c r="P47"/>
  <c r="L47"/>
  <c r="O47" s="1"/>
  <c r="P52"/>
  <c r="L52"/>
  <c r="O52" s="1"/>
  <c r="P58"/>
  <c r="L58"/>
  <c r="O58" s="1"/>
  <c r="P60"/>
  <c r="L60"/>
  <c r="O60" s="1"/>
  <c r="P63"/>
  <c r="L63"/>
  <c r="O63" s="1"/>
  <c r="P9"/>
  <c r="L9"/>
  <c r="O9" s="1"/>
  <c r="P12"/>
  <c r="L12"/>
  <c r="O12" s="1"/>
  <c r="P17"/>
  <c r="L17"/>
  <c r="O17" s="1"/>
  <c r="L23"/>
  <c r="O23" s="1"/>
  <c r="P23"/>
  <c r="P28"/>
  <c r="L28"/>
  <c r="O28" s="1"/>
  <c r="P38"/>
  <c r="L38"/>
  <c r="O38" s="1"/>
  <c r="P44"/>
  <c r="L44"/>
  <c r="O44" s="1"/>
  <c r="L46"/>
  <c r="O46" s="1"/>
  <c r="P46"/>
  <c r="P56"/>
  <c r="L56"/>
  <c r="O56" s="1"/>
  <c r="L68"/>
  <c r="O68" s="1"/>
  <c r="P68"/>
  <c r="P72"/>
  <c r="L72"/>
  <c r="O72" s="1"/>
  <c r="P83"/>
  <c r="L83"/>
  <c r="O83" s="1"/>
  <c r="P8"/>
  <c r="P26"/>
  <c r="P30"/>
  <c r="P34"/>
  <c r="P37"/>
  <c r="P42"/>
  <c r="P48"/>
  <c r="P51"/>
  <c r="P54"/>
  <c r="P59"/>
  <c r="P62"/>
  <c r="P64"/>
  <c r="P67"/>
  <c r="P74"/>
  <c r="P77"/>
  <c r="P80"/>
  <c r="P88"/>
  <c r="P90"/>
  <c r="P93"/>
  <c r="P95"/>
  <c r="G98"/>
  <c r="P11"/>
  <c r="P15"/>
  <c r="P19"/>
  <c r="P45"/>
  <c r="P57"/>
  <c r="P70"/>
  <c r="L97" i="874"/>
  <c r="O97" s="1"/>
  <c r="L85"/>
  <c r="O85" s="1"/>
  <c r="P18"/>
  <c r="L18"/>
  <c r="O18" s="1"/>
  <c r="L23"/>
  <c r="O23" s="1"/>
  <c r="P23"/>
  <c r="L31"/>
  <c r="O31" s="1"/>
  <c r="P31"/>
  <c r="P69"/>
  <c r="L69"/>
  <c r="O69" s="1"/>
  <c r="L83"/>
  <c r="O83" s="1"/>
  <c r="P83"/>
  <c r="P7"/>
  <c r="L7"/>
  <c r="O7" s="1"/>
  <c r="L12"/>
  <c r="O12" s="1"/>
  <c r="P12"/>
  <c r="L20"/>
  <c r="O20" s="1"/>
  <c r="P20"/>
  <c r="P25"/>
  <c r="L25"/>
  <c r="O25" s="1"/>
  <c r="P33"/>
  <c r="L33"/>
  <c r="O33" s="1"/>
  <c r="L38"/>
  <c r="O38" s="1"/>
  <c r="P38"/>
  <c r="L40"/>
  <c r="O40" s="1"/>
  <c r="P40"/>
  <c r="L46"/>
  <c r="O46" s="1"/>
  <c r="P46"/>
  <c r="P61"/>
  <c r="L61"/>
  <c r="O61" s="1"/>
  <c r="P66"/>
  <c r="L66"/>
  <c r="O66" s="1"/>
  <c r="L71"/>
  <c r="O71" s="1"/>
  <c r="P71"/>
  <c r="L78"/>
  <c r="O78" s="1"/>
  <c r="P78"/>
  <c r="J98"/>
  <c r="L6"/>
  <c r="P6"/>
  <c r="L9"/>
  <c r="O9" s="1"/>
  <c r="P9"/>
  <c r="P14"/>
  <c r="L14"/>
  <c r="O14" s="1"/>
  <c r="P22"/>
  <c r="L22"/>
  <c r="O22" s="1"/>
  <c r="L27"/>
  <c r="O27" s="1"/>
  <c r="P27"/>
  <c r="L35"/>
  <c r="O35" s="1"/>
  <c r="P35"/>
  <c r="P53"/>
  <c r="L53"/>
  <c r="O53" s="1"/>
  <c r="L68"/>
  <c r="O68" s="1"/>
  <c r="P68"/>
  <c r="P73"/>
  <c r="L73"/>
  <c r="O73" s="1"/>
  <c r="P82"/>
  <c r="L82"/>
  <c r="O82" s="1"/>
  <c r="L16"/>
  <c r="O16" s="1"/>
  <c r="P16"/>
  <c r="P29"/>
  <c r="L29"/>
  <c r="O29" s="1"/>
  <c r="P39"/>
  <c r="L39"/>
  <c r="O39" s="1"/>
  <c r="L43"/>
  <c r="O43" s="1"/>
  <c r="P43"/>
  <c r="L55"/>
  <c r="O55" s="1"/>
  <c r="P55"/>
  <c r="L60"/>
  <c r="O60" s="1"/>
  <c r="P60"/>
  <c r="L75"/>
  <c r="O75" s="1"/>
  <c r="P75"/>
  <c r="P79"/>
  <c r="L79"/>
  <c r="O79" s="1"/>
  <c r="P36"/>
  <c r="L36"/>
  <c r="O36" s="1"/>
  <c r="P50"/>
  <c r="L50"/>
  <c r="O50" s="1"/>
  <c r="L81"/>
  <c r="O81" s="1"/>
  <c r="P81"/>
  <c r="P8"/>
  <c r="L10"/>
  <c r="O10" s="1"/>
  <c r="Q10" s="1"/>
  <c r="P11"/>
  <c r="L13"/>
  <c r="O13" s="1"/>
  <c r="P15"/>
  <c r="L17"/>
  <c r="O17" s="1"/>
  <c r="P19"/>
  <c r="L21"/>
  <c r="O21" s="1"/>
  <c r="L24"/>
  <c r="O24" s="1"/>
  <c r="P26"/>
  <c r="L28"/>
  <c r="O28" s="1"/>
  <c r="P30"/>
  <c r="L32"/>
  <c r="O32" s="1"/>
  <c r="P34"/>
  <c r="P37"/>
  <c r="L41"/>
  <c r="O41" s="1"/>
  <c r="P42"/>
  <c r="L44"/>
  <c r="O44" s="1"/>
  <c r="P45"/>
  <c r="L47"/>
  <c r="O47" s="1"/>
  <c r="P48"/>
  <c r="L49"/>
  <c r="O49" s="1"/>
  <c r="P51"/>
  <c r="L52"/>
  <c r="O52" s="1"/>
  <c r="P54"/>
  <c r="L56"/>
  <c r="O56" s="1"/>
  <c r="P57"/>
  <c r="L58"/>
  <c r="O58" s="1"/>
  <c r="P59"/>
  <c r="P62"/>
  <c r="L63"/>
  <c r="O63" s="1"/>
  <c r="P64"/>
  <c r="L65"/>
  <c r="O65" s="1"/>
  <c r="P67"/>
  <c r="P70"/>
  <c r="L72"/>
  <c r="O72" s="1"/>
  <c r="P74"/>
  <c r="L76"/>
  <c r="O76" s="1"/>
  <c r="P77"/>
  <c r="P80"/>
  <c r="L84"/>
  <c r="O84" s="1"/>
  <c r="P88"/>
  <c r="L89"/>
  <c r="O89" s="1"/>
  <c r="P90"/>
  <c r="L91"/>
  <c r="O91" s="1"/>
  <c r="P93"/>
  <c r="L94"/>
  <c r="O94" s="1"/>
  <c r="P95"/>
  <c r="L96"/>
  <c r="O96" s="1"/>
  <c r="G98"/>
  <c r="M98" i="873"/>
  <c r="K98"/>
  <c r="I98"/>
  <c r="H98"/>
  <c r="F98"/>
  <c r="E98"/>
  <c r="D98"/>
  <c r="J97"/>
  <c r="P97" s="1"/>
  <c r="G97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J92"/>
  <c r="P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J87"/>
  <c r="P87" s="1"/>
  <c r="G87"/>
  <c r="V86"/>
  <c r="J86"/>
  <c r="P86" s="1"/>
  <c r="G86"/>
  <c r="V85"/>
  <c r="L85"/>
  <c r="O85" s="1"/>
  <c r="J85"/>
  <c r="P85" s="1"/>
  <c r="G85"/>
  <c r="J84"/>
  <c r="P84" s="1"/>
  <c r="G84"/>
  <c r="G83"/>
  <c r="J83" s="1"/>
  <c r="R82"/>
  <c r="G82"/>
  <c r="J82" s="1"/>
  <c r="R81"/>
  <c r="G81"/>
  <c r="J81" s="1"/>
  <c r="G80"/>
  <c r="J80" s="1"/>
  <c r="L80" s="1"/>
  <c r="O80" s="1"/>
  <c r="G79"/>
  <c r="J79" s="1"/>
  <c r="V78"/>
  <c r="G78"/>
  <c r="J78" s="1"/>
  <c r="G77"/>
  <c r="J77" s="1"/>
  <c r="L77" s="1"/>
  <c r="O77" s="1"/>
  <c r="V76"/>
  <c r="G76"/>
  <c r="J76" s="1"/>
  <c r="G75"/>
  <c r="J75" s="1"/>
  <c r="G74"/>
  <c r="J74" s="1"/>
  <c r="L74" s="1"/>
  <c r="O74" s="1"/>
  <c r="G73"/>
  <c r="J73" s="1"/>
  <c r="L72"/>
  <c r="O72" s="1"/>
  <c r="J72"/>
  <c r="P72" s="1"/>
  <c r="G72"/>
  <c r="G71"/>
  <c r="J71" s="1"/>
  <c r="J70"/>
  <c r="L70" s="1"/>
  <c r="O70" s="1"/>
  <c r="G70"/>
  <c r="G69"/>
  <c r="J69" s="1"/>
  <c r="V68"/>
  <c r="G68"/>
  <c r="J68" s="1"/>
  <c r="G67"/>
  <c r="J67" s="1"/>
  <c r="L67" s="1"/>
  <c r="O67" s="1"/>
  <c r="G66"/>
  <c r="J66" s="1"/>
  <c r="G65"/>
  <c r="J65" s="1"/>
  <c r="V64"/>
  <c r="J64"/>
  <c r="L64" s="1"/>
  <c r="O64" s="1"/>
  <c r="G64"/>
  <c r="V63"/>
  <c r="G63"/>
  <c r="J63" s="1"/>
  <c r="R62"/>
  <c r="J62"/>
  <c r="L62" s="1"/>
  <c r="O62" s="1"/>
  <c r="G62"/>
  <c r="J61"/>
  <c r="P61" s="1"/>
  <c r="G61"/>
  <c r="V60"/>
  <c r="G60"/>
  <c r="J60" s="1"/>
  <c r="G59"/>
  <c r="J59" s="1"/>
  <c r="L59" s="1"/>
  <c r="O59" s="1"/>
  <c r="R58"/>
  <c r="J58"/>
  <c r="P58" s="1"/>
  <c r="G58"/>
  <c r="V57"/>
  <c r="G57"/>
  <c r="J57" s="1"/>
  <c r="L57" s="1"/>
  <c r="O57" s="1"/>
  <c r="V56"/>
  <c r="G56"/>
  <c r="J56" s="1"/>
  <c r="G55"/>
  <c r="J55" s="1"/>
  <c r="J54"/>
  <c r="L54" s="1"/>
  <c r="O54" s="1"/>
  <c r="G54"/>
  <c r="G53"/>
  <c r="J53" s="1"/>
  <c r="G52"/>
  <c r="J52" s="1"/>
  <c r="V51"/>
  <c r="G51"/>
  <c r="J51" s="1"/>
  <c r="L51" s="1"/>
  <c r="O51" s="1"/>
  <c r="L50"/>
  <c r="O50" s="1"/>
  <c r="J50"/>
  <c r="P50" s="1"/>
  <c r="G50"/>
  <c r="J49"/>
  <c r="P49" s="1"/>
  <c r="G49"/>
  <c r="V48"/>
  <c r="G48"/>
  <c r="J48" s="1"/>
  <c r="L48" s="1"/>
  <c r="O48" s="1"/>
  <c r="V47"/>
  <c r="G47"/>
  <c r="J47" s="1"/>
  <c r="G46"/>
  <c r="J46" s="1"/>
  <c r="G45"/>
  <c r="J45" s="1"/>
  <c r="L45" s="1"/>
  <c r="O45" s="1"/>
  <c r="R44"/>
  <c r="G44"/>
  <c r="J44" s="1"/>
  <c r="G43"/>
  <c r="J43" s="1"/>
  <c r="J42"/>
  <c r="L42" s="1"/>
  <c r="O42" s="1"/>
  <c r="G42"/>
  <c r="V41"/>
  <c r="L41"/>
  <c r="O41" s="1"/>
  <c r="J41"/>
  <c r="P41" s="1"/>
  <c r="G41"/>
  <c r="G40"/>
  <c r="J40" s="1"/>
  <c r="V39"/>
  <c r="G39"/>
  <c r="J39" s="1"/>
  <c r="V38"/>
  <c r="G38"/>
  <c r="J38" s="1"/>
  <c r="G37"/>
  <c r="J37" s="1"/>
  <c r="L37" s="1"/>
  <c r="O37" s="1"/>
  <c r="G36"/>
  <c r="J36" s="1"/>
  <c r="V35"/>
  <c r="G35"/>
  <c r="J35" s="1"/>
  <c r="G34"/>
  <c r="J34" s="1"/>
  <c r="L34" s="1"/>
  <c r="O34" s="1"/>
  <c r="J33"/>
  <c r="P33" s="1"/>
  <c r="G33"/>
  <c r="G32"/>
  <c r="J32" s="1"/>
  <c r="P32" s="1"/>
  <c r="G31"/>
  <c r="J31" s="1"/>
  <c r="G30"/>
  <c r="J30" s="1"/>
  <c r="L30" s="1"/>
  <c r="O30" s="1"/>
  <c r="G29"/>
  <c r="J29" s="1"/>
  <c r="G28"/>
  <c r="J28" s="1"/>
  <c r="G27"/>
  <c r="J27" s="1"/>
  <c r="J26"/>
  <c r="L26" s="1"/>
  <c r="O26" s="1"/>
  <c r="G26"/>
  <c r="G25"/>
  <c r="J25" s="1"/>
  <c r="P25" s="1"/>
  <c r="J24"/>
  <c r="P24" s="1"/>
  <c r="G24"/>
  <c r="G23"/>
  <c r="J23" s="1"/>
  <c r="R22"/>
  <c r="G22"/>
  <c r="J22" s="1"/>
  <c r="J21"/>
  <c r="P21" s="1"/>
  <c r="G21"/>
  <c r="G20"/>
  <c r="J20" s="1"/>
  <c r="J19"/>
  <c r="L19" s="1"/>
  <c r="O19" s="1"/>
  <c r="G19"/>
  <c r="G18"/>
  <c r="J18" s="1"/>
  <c r="G17"/>
  <c r="J17" s="1"/>
  <c r="G16"/>
  <c r="J16" s="1"/>
  <c r="G15"/>
  <c r="J15" s="1"/>
  <c r="L15" s="1"/>
  <c r="O15" s="1"/>
  <c r="G14"/>
  <c r="J14" s="1"/>
  <c r="G13"/>
  <c r="J13" s="1"/>
  <c r="G12"/>
  <c r="J12" s="1"/>
  <c r="J11"/>
  <c r="L11" s="1"/>
  <c r="O11" s="1"/>
  <c r="G11"/>
  <c r="G10"/>
  <c r="J10" s="1"/>
  <c r="P10" s="1"/>
  <c r="G9"/>
  <c r="J9" s="1"/>
  <c r="G8"/>
  <c r="J8" s="1"/>
  <c r="L8" s="1"/>
  <c r="O8" s="1"/>
  <c r="G7"/>
  <c r="J7" s="1"/>
  <c r="G6"/>
  <c r="J6" s="1"/>
  <c r="O98" i="882" l="1"/>
  <c r="Q98" s="1"/>
  <c r="Q6"/>
  <c r="O98" i="881"/>
  <c r="Q98" s="1"/>
  <c r="Q6"/>
  <c r="O98" i="880"/>
  <c r="Q98" s="1"/>
  <c r="Q6"/>
  <c r="J98" i="879"/>
  <c r="P6"/>
  <c r="P98" s="1"/>
  <c r="P101" s="1"/>
  <c r="L6"/>
  <c r="G98" i="878"/>
  <c r="J98"/>
  <c r="P6"/>
  <c r="P98" s="1"/>
  <c r="P101" s="1"/>
  <c r="Q10"/>
  <c r="L98"/>
  <c r="O6"/>
  <c r="O98" i="877"/>
  <c r="P98"/>
  <c r="P101" s="1"/>
  <c r="L98"/>
  <c r="P98" i="876"/>
  <c r="P101" s="1"/>
  <c r="L98"/>
  <c r="O6"/>
  <c r="Q10"/>
  <c r="O6" i="875"/>
  <c r="L98"/>
  <c r="P98"/>
  <c r="P101" s="1"/>
  <c r="Q10"/>
  <c r="P98" i="874"/>
  <c r="P101" s="1"/>
  <c r="L98"/>
  <c r="O6"/>
  <c r="L86" i="873"/>
  <c r="O86" s="1"/>
  <c r="L21"/>
  <c r="O21" s="1"/>
  <c r="L84"/>
  <c r="O84" s="1"/>
  <c r="L89"/>
  <c r="O89" s="1"/>
  <c r="L91"/>
  <c r="O91" s="1"/>
  <c r="L92"/>
  <c r="O92" s="1"/>
  <c r="P36"/>
  <c r="L36"/>
  <c r="O36" s="1"/>
  <c r="P73"/>
  <c r="L73"/>
  <c r="O73" s="1"/>
  <c r="P14"/>
  <c r="L14"/>
  <c r="O14" s="1"/>
  <c r="P44"/>
  <c r="L44"/>
  <c r="O44" s="1"/>
  <c r="P47"/>
  <c r="L47"/>
  <c r="O47" s="1"/>
  <c r="P56"/>
  <c r="L56"/>
  <c r="O56" s="1"/>
  <c r="P13"/>
  <c r="L13"/>
  <c r="O13" s="1"/>
  <c r="P22"/>
  <c r="L22"/>
  <c r="O22" s="1"/>
  <c r="L49"/>
  <c r="O49" s="1"/>
  <c r="L58"/>
  <c r="O58" s="1"/>
  <c r="L97"/>
  <c r="O97" s="1"/>
  <c r="P53"/>
  <c r="L53"/>
  <c r="O53" s="1"/>
  <c r="P63"/>
  <c r="L63"/>
  <c r="O63" s="1"/>
  <c r="P39"/>
  <c r="L39"/>
  <c r="O39" s="1"/>
  <c r="P52"/>
  <c r="L52"/>
  <c r="O52" s="1"/>
  <c r="P79"/>
  <c r="L79"/>
  <c r="O79" s="1"/>
  <c r="P82"/>
  <c r="L82"/>
  <c r="O82" s="1"/>
  <c r="P18"/>
  <c r="L18"/>
  <c r="O18" s="1"/>
  <c r="P29"/>
  <c r="L29"/>
  <c r="O29" s="1"/>
  <c r="P66"/>
  <c r="L66"/>
  <c r="O66" s="1"/>
  <c r="P69"/>
  <c r="L69"/>
  <c r="O69" s="1"/>
  <c r="P76"/>
  <c r="L76"/>
  <c r="O76" s="1"/>
  <c r="P7"/>
  <c r="L7"/>
  <c r="O7" s="1"/>
  <c r="P17"/>
  <c r="L17"/>
  <c r="O17" s="1"/>
  <c r="P28"/>
  <c r="L28"/>
  <c r="O28" s="1"/>
  <c r="P65"/>
  <c r="L65"/>
  <c r="O65" s="1"/>
  <c r="L10"/>
  <c r="O10" s="1"/>
  <c r="L24"/>
  <c r="O24" s="1"/>
  <c r="L25"/>
  <c r="O25" s="1"/>
  <c r="L32"/>
  <c r="O32" s="1"/>
  <c r="L33"/>
  <c r="O33" s="1"/>
  <c r="L61"/>
  <c r="O61" s="1"/>
  <c r="L87"/>
  <c r="O87" s="1"/>
  <c r="L94"/>
  <c r="O94" s="1"/>
  <c r="L96"/>
  <c r="O96" s="1"/>
  <c r="J98"/>
  <c r="L6"/>
  <c r="P6"/>
  <c r="L27"/>
  <c r="O27" s="1"/>
  <c r="P27"/>
  <c r="L35"/>
  <c r="O35" s="1"/>
  <c r="P35"/>
  <c r="L83"/>
  <c r="O83" s="1"/>
  <c r="P83"/>
  <c r="L16"/>
  <c r="O16" s="1"/>
  <c r="P16"/>
  <c r="L38"/>
  <c r="O38" s="1"/>
  <c r="P38"/>
  <c r="L75"/>
  <c r="O75" s="1"/>
  <c r="P75"/>
  <c r="L78"/>
  <c r="O78" s="1"/>
  <c r="P78"/>
  <c r="L9"/>
  <c r="O9" s="1"/>
  <c r="P9"/>
  <c r="L23"/>
  <c r="O23" s="1"/>
  <c r="P23"/>
  <c r="L31"/>
  <c r="O31" s="1"/>
  <c r="P31"/>
  <c r="L68"/>
  <c r="O68" s="1"/>
  <c r="P68"/>
  <c r="L81"/>
  <c r="O81" s="1"/>
  <c r="P81"/>
  <c r="Q10"/>
  <c r="L12"/>
  <c r="O12" s="1"/>
  <c r="P12"/>
  <c r="L20"/>
  <c r="O20" s="1"/>
  <c r="P20"/>
  <c r="L40"/>
  <c r="O40" s="1"/>
  <c r="P40"/>
  <c r="L43"/>
  <c r="O43" s="1"/>
  <c r="P43"/>
  <c r="L46"/>
  <c r="O46" s="1"/>
  <c r="P46"/>
  <c r="L55"/>
  <c r="O55" s="1"/>
  <c r="P55"/>
  <c r="L60"/>
  <c r="O60" s="1"/>
  <c r="P60"/>
  <c r="L71"/>
  <c r="O71" s="1"/>
  <c r="P71"/>
  <c r="P8"/>
  <c r="P11"/>
  <c r="P15"/>
  <c r="P19"/>
  <c r="P26"/>
  <c r="P30"/>
  <c r="P34"/>
  <c r="P37"/>
  <c r="P42"/>
  <c r="P45"/>
  <c r="P48"/>
  <c r="P51"/>
  <c r="P54"/>
  <c r="P57"/>
  <c r="P59"/>
  <c r="P62"/>
  <c r="P64"/>
  <c r="P67"/>
  <c r="P70"/>
  <c r="P74"/>
  <c r="P77"/>
  <c r="P80"/>
  <c r="P88"/>
  <c r="P90"/>
  <c r="P93"/>
  <c r="P95"/>
  <c r="G98"/>
  <c r="M98" i="872"/>
  <c r="K98"/>
  <c r="H98"/>
  <c r="F98"/>
  <c r="D98"/>
  <c r="L97"/>
  <c r="O97" s="1"/>
  <c r="J97"/>
  <c r="P97" s="1"/>
  <c r="G97"/>
  <c r="L96"/>
  <c r="O96" s="1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L92"/>
  <c r="O92" s="1"/>
  <c r="J92"/>
  <c r="P92" s="1"/>
  <c r="G92"/>
  <c r="L91"/>
  <c r="O91" s="1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L87"/>
  <c r="O87" s="1"/>
  <c r="J87"/>
  <c r="P87" s="1"/>
  <c r="G87"/>
  <c r="V86"/>
  <c r="J86"/>
  <c r="L86" s="1"/>
  <c r="O86" s="1"/>
  <c r="G86"/>
  <c r="V85"/>
  <c r="L85"/>
  <c r="O85" s="1"/>
  <c r="J85"/>
  <c r="P85" s="1"/>
  <c r="G85"/>
  <c r="L84"/>
  <c r="O84" s="1"/>
  <c r="J84"/>
  <c r="P84" s="1"/>
  <c r="G84"/>
  <c r="I98"/>
  <c r="G83"/>
  <c r="J83" s="1"/>
  <c r="R82"/>
  <c r="G82"/>
  <c r="J82" s="1"/>
  <c r="R81"/>
  <c r="J81"/>
  <c r="L81" s="1"/>
  <c r="O81" s="1"/>
  <c r="G81"/>
  <c r="G80"/>
  <c r="J80" s="1"/>
  <c r="G79"/>
  <c r="J79" s="1"/>
  <c r="V78"/>
  <c r="G78"/>
  <c r="J78" s="1"/>
  <c r="L78" s="1"/>
  <c r="O78" s="1"/>
  <c r="J77"/>
  <c r="P77" s="1"/>
  <c r="G77"/>
  <c r="V76"/>
  <c r="G76"/>
  <c r="J76" s="1"/>
  <c r="J75"/>
  <c r="L75" s="1"/>
  <c r="O75" s="1"/>
  <c r="G75"/>
  <c r="G74"/>
  <c r="J74" s="1"/>
  <c r="G73"/>
  <c r="J73" s="1"/>
  <c r="G72"/>
  <c r="J72" s="1"/>
  <c r="G71"/>
  <c r="J71" s="1"/>
  <c r="L71" s="1"/>
  <c r="O71" s="1"/>
  <c r="J70"/>
  <c r="P70" s="1"/>
  <c r="G70"/>
  <c r="G69"/>
  <c r="J69" s="1"/>
  <c r="V68"/>
  <c r="J68"/>
  <c r="L68" s="1"/>
  <c r="O68" s="1"/>
  <c r="G68"/>
  <c r="G67"/>
  <c r="J67" s="1"/>
  <c r="G66"/>
  <c r="J66" s="1"/>
  <c r="G65"/>
  <c r="J65" s="1"/>
  <c r="V64"/>
  <c r="J64"/>
  <c r="P64" s="1"/>
  <c r="G64"/>
  <c r="V63"/>
  <c r="G63"/>
  <c r="J63" s="1"/>
  <c r="R62"/>
  <c r="G62"/>
  <c r="J62" s="1"/>
  <c r="G61"/>
  <c r="J61" s="1"/>
  <c r="V60"/>
  <c r="G60"/>
  <c r="J60" s="1"/>
  <c r="L60" s="1"/>
  <c r="O60" s="1"/>
  <c r="J59"/>
  <c r="P59" s="1"/>
  <c r="G59"/>
  <c r="R58"/>
  <c r="G58"/>
  <c r="J58" s="1"/>
  <c r="V57"/>
  <c r="G57"/>
  <c r="J57" s="1"/>
  <c r="P57" s="1"/>
  <c r="V56"/>
  <c r="G56"/>
  <c r="J56" s="1"/>
  <c r="G55"/>
  <c r="J55" s="1"/>
  <c r="L55" s="1"/>
  <c r="O55" s="1"/>
  <c r="G54"/>
  <c r="J54" s="1"/>
  <c r="G53"/>
  <c r="J53" s="1"/>
  <c r="G52"/>
  <c r="J52" s="1"/>
  <c r="V51"/>
  <c r="L51"/>
  <c r="O51" s="1"/>
  <c r="J51"/>
  <c r="P51" s="1"/>
  <c r="G51"/>
  <c r="G50"/>
  <c r="J50" s="1"/>
  <c r="G49"/>
  <c r="J49" s="1"/>
  <c r="V48"/>
  <c r="G48"/>
  <c r="J48" s="1"/>
  <c r="V47"/>
  <c r="G47"/>
  <c r="J47" s="1"/>
  <c r="G46"/>
  <c r="J46" s="1"/>
  <c r="L46" s="1"/>
  <c r="O46" s="1"/>
  <c r="J45"/>
  <c r="P45" s="1"/>
  <c r="G45"/>
  <c r="R44"/>
  <c r="G44"/>
  <c r="J44" s="1"/>
  <c r="J43"/>
  <c r="L43" s="1"/>
  <c r="O43" s="1"/>
  <c r="G43"/>
  <c r="G42"/>
  <c r="J42" s="1"/>
  <c r="V41"/>
  <c r="G41"/>
  <c r="J41" s="1"/>
  <c r="G40"/>
  <c r="J40" s="1"/>
  <c r="L40" s="1"/>
  <c r="O40" s="1"/>
  <c r="V39"/>
  <c r="G39"/>
  <c r="J39" s="1"/>
  <c r="V38"/>
  <c r="J38"/>
  <c r="L38" s="1"/>
  <c r="O38" s="1"/>
  <c r="G38"/>
  <c r="G37"/>
  <c r="J37" s="1"/>
  <c r="G36"/>
  <c r="J36" s="1"/>
  <c r="V35"/>
  <c r="G35"/>
  <c r="J35" s="1"/>
  <c r="L35" s="1"/>
  <c r="O35" s="1"/>
  <c r="J34"/>
  <c r="P34" s="1"/>
  <c r="G34"/>
  <c r="G33"/>
  <c r="J33" s="1"/>
  <c r="P33" s="1"/>
  <c r="G32"/>
  <c r="J32" s="1"/>
  <c r="G31"/>
  <c r="J31" s="1"/>
  <c r="L31" s="1"/>
  <c r="O31" s="1"/>
  <c r="J30"/>
  <c r="P30" s="1"/>
  <c r="G30"/>
  <c r="J29"/>
  <c r="P29" s="1"/>
  <c r="G29"/>
  <c r="G28"/>
  <c r="J28" s="1"/>
  <c r="G27"/>
  <c r="J27" s="1"/>
  <c r="L27" s="1"/>
  <c r="O27" s="1"/>
  <c r="J26"/>
  <c r="P26" s="1"/>
  <c r="G26"/>
  <c r="G25"/>
  <c r="J25" s="1"/>
  <c r="P25" s="1"/>
  <c r="G24"/>
  <c r="J24" s="1"/>
  <c r="G23"/>
  <c r="J23" s="1"/>
  <c r="L23" s="1"/>
  <c r="O23" s="1"/>
  <c r="R22"/>
  <c r="J22"/>
  <c r="P22" s="1"/>
  <c r="G22"/>
  <c r="G21"/>
  <c r="J21" s="1"/>
  <c r="G20"/>
  <c r="J20" s="1"/>
  <c r="L20" s="1"/>
  <c r="O20" s="1"/>
  <c r="J19"/>
  <c r="P19" s="1"/>
  <c r="G19"/>
  <c r="L18"/>
  <c r="O18" s="1"/>
  <c r="J18"/>
  <c r="P18" s="1"/>
  <c r="G18"/>
  <c r="G17"/>
  <c r="J17" s="1"/>
  <c r="J16"/>
  <c r="L16" s="1"/>
  <c r="O16" s="1"/>
  <c r="G16"/>
  <c r="J15"/>
  <c r="P15" s="1"/>
  <c r="G15"/>
  <c r="J14"/>
  <c r="P14" s="1"/>
  <c r="G14"/>
  <c r="G13"/>
  <c r="J13" s="1"/>
  <c r="G12"/>
  <c r="J12" s="1"/>
  <c r="L12" s="1"/>
  <c r="O12" s="1"/>
  <c r="L11"/>
  <c r="O11" s="1"/>
  <c r="J11"/>
  <c r="P11" s="1"/>
  <c r="G11"/>
  <c r="G10"/>
  <c r="J10" s="1"/>
  <c r="G9"/>
  <c r="J9" s="1"/>
  <c r="G8"/>
  <c r="J8" s="1"/>
  <c r="G7"/>
  <c r="J7" s="1"/>
  <c r="L7" s="1"/>
  <c r="O7" s="1"/>
  <c r="J6"/>
  <c r="L6" s="1"/>
  <c r="O6" s="1"/>
  <c r="G6"/>
  <c r="I83" i="871"/>
  <c r="I98" s="1"/>
  <c r="E10"/>
  <c r="E98" s="1"/>
  <c r="E8"/>
  <c r="M98"/>
  <c r="K98"/>
  <c r="H98"/>
  <c r="D98"/>
  <c r="J97"/>
  <c r="P97" s="1"/>
  <c r="G97"/>
  <c r="J96"/>
  <c r="P96" s="1"/>
  <c r="G96"/>
  <c r="V95"/>
  <c r="O95"/>
  <c r="L95"/>
  <c r="J95"/>
  <c r="P95" s="1"/>
  <c r="G95"/>
  <c r="V94"/>
  <c r="L94"/>
  <c r="O94" s="1"/>
  <c r="J94"/>
  <c r="P94" s="1"/>
  <c r="G94"/>
  <c r="V93"/>
  <c r="J93"/>
  <c r="L93" s="1"/>
  <c r="O93" s="1"/>
  <c r="G93"/>
  <c r="J92"/>
  <c r="P92" s="1"/>
  <c r="G92"/>
  <c r="L91"/>
  <c r="O91" s="1"/>
  <c r="J91"/>
  <c r="P91" s="1"/>
  <c r="G91"/>
  <c r="V90"/>
  <c r="L90"/>
  <c r="O90" s="1"/>
  <c r="J90"/>
  <c r="P90" s="1"/>
  <c r="G90"/>
  <c r="V89"/>
  <c r="L89"/>
  <c r="O89" s="1"/>
  <c r="J89"/>
  <c r="P89" s="1"/>
  <c r="G89"/>
  <c r="V88"/>
  <c r="L88"/>
  <c r="O88" s="1"/>
  <c r="J88"/>
  <c r="P88" s="1"/>
  <c r="G88"/>
  <c r="J87"/>
  <c r="L87" s="1"/>
  <c r="O87" s="1"/>
  <c r="G87"/>
  <c r="V86"/>
  <c r="J86"/>
  <c r="P86" s="1"/>
  <c r="G86"/>
  <c r="V85"/>
  <c r="J85"/>
  <c r="L85" s="1"/>
  <c r="O85" s="1"/>
  <c r="G85"/>
  <c r="J84"/>
  <c r="P84" s="1"/>
  <c r="G84"/>
  <c r="G83"/>
  <c r="R82"/>
  <c r="J82"/>
  <c r="P82" s="1"/>
  <c r="G82"/>
  <c r="R81"/>
  <c r="G81"/>
  <c r="J81" s="1"/>
  <c r="G80"/>
  <c r="J80" s="1"/>
  <c r="J79"/>
  <c r="P79" s="1"/>
  <c r="G79"/>
  <c r="V78"/>
  <c r="G78"/>
  <c r="J78" s="1"/>
  <c r="G77"/>
  <c r="J77" s="1"/>
  <c r="V76"/>
  <c r="G76"/>
  <c r="J76" s="1"/>
  <c r="G75"/>
  <c r="J75" s="1"/>
  <c r="G74"/>
  <c r="J74" s="1"/>
  <c r="G73"/>
  <c r="J73" s="1"/>
  <c r="P73" s="1"/>
  <c r="J72"/>
  <c r="P72" s="1"/>
  <c r="G72"/>
  <c r="G71"/>
  <c r="J71" s="1"/>
  <c r="G70"/>
  <c r="J70" s="1"/>
  <c r="J69"/>
  <c r="P69" s="1"/>
  <c r="G69"/>
  <c r="V68"/>
  <c r="J68"/>
  <c r="P68" s="1"/>
  <c r="G68"/>
  <c r="G67"/>
  <c r="J67" s="1"/>
  <c r="J66"/>
  <c r="P66" s="1"/>
  <c r="G66"/>
  <c r="G65"/>
  <c r="J65" s="1"/>
  <c r="V64"/>
  <c r="G64"/>
  <c r="J64" s="1"/>
  <c r="V63"/>
  <c r="J63"/>
  <c r="P63" s="1"/>
  <c r="G63"/>
  <c r="R62"/>
  <c r="G62"/>
  <c r="J62" s="1"/>
  <c r="J61"/>
  <c r="L61" s="1"/>
  <c r="O61" s="1"/>
  <c r="G61"/>
  <c r="V60"/>
  <c r="L60"/>
  <c r="O60" s="1"/>
  <c r="J60"/>
  <c r="P60" s="1"/>
  <c r="G60"/>
  <c r="G59"/>
  <c r="J59" s="1"/>
  <c r="R58"/>
  <c r="G58"/>
  <c r="J58" s="1"/>
  <c r="V57"/>
  <c r="G57"/>
  <c r="J57" s="1"/>
  <c r="V56"/>
  <c r="J56"/>
  <c r="P56" s="1"/>
  <c r="G56"/>
  <c r="L55"/>
  <c r="O55" s="1"/>
  <c r="J55"/>
  <c r="P55" s="1"/>
  <c r="G55"/>
  <c r="G54"/>
  <c r="J54" s="1"/>
  <c r="J53"/>
  <c r="L53" s="1"/>
  <c r="O53" s="1"/>
  <c r="G53"/>
  <c r="G52"/>
  <c r="J52" s="1"/>
  <c r="V51"/>
  <c r="G51"/>
  <c r="J51" s="1"/>
  <c r="G50"/>
  <c r="J50" s="1"/>
  <c r="L50" s="1"/>
  <c r="O50" s="1"/>
  <c r="G49"/>
  <c r="J49" s="1"/>
  <c r="V48"/>
  <c r="G48"/>
  <c r="J48" s="1"/>
  <c r="V47"/>
  <c r="J47"/>
  <c r="P47" s="1"/>
  <c r="G47"/>
  <c r="J46"/>
  <c r="P46" s="1"/>
  <c r="G46"/>
  <c r="G45"/>
  <c r="J45" s="1"/>
  <c r="R44"/>
  <c r="L44"/>
  <c r="O44" s="1"/>
  <c r="J44"/>
  <c r="P44" s="1"/>
  <c r="G44"/>
  <c r="J43"/>
  <c r="P43" s="1"/>
  <c r="G43"/>
  <c r="G42"/>
  <c r="J42" s="1"/>
  <c r="V41"/>
  <c r="G41"/>
  <c r="J41" s="1"/>
  <c r="G40"/>
  <c r="J40" s="1"/>
  <c r="V39"/>
  <c r="G39"/>
  <c r="J39" s="1"/>
  <c r="L39" s="1"/>
  <c r="O39" s="1"/>
  <c r="V38"/>
  <c r="G38"/>
  <c r="J38" s="1"/>
  <c r="G37"/>
  <c r="J37" s="1"/>
  <c r="J36"/>
  <c r="L36" s="1"/>
  <c r="O36" s="1"/>
  <c r="G36"/>
  <c r="V35"/>
  <c r="L35"/>
  <c r="O35" s="1"/>
  <c r="J35"/>
  <c r="P35" s="1"/>
  <c r="G35"/>
  <c r="G34"/>
  <c r="J34" s="1"/>
  <c r="J33"/>
  <c r="P33" s="1"/>
  <c r="G33"/>
  <c r="J32"/>
  <c r="P32" s="1"/>
  <c r="G32"/>
  <c r="J31"/>
  <c r="P31" s="1"/>
  <c r="G31"/>
  <c r="G30"/>
  <c r="J30" s="1"/>
  <c r="G29"/>
  <c r="J29" s="1"/>
  <c r="P29" s="1"/>
  <c r="L28"/>
  <c r="O28" s="1"/>
  <c r="J28"/>
  <c r="P28" s="1"/>
  <c r="G28"/>
  <c r="G27"/>
  <c r="J27" s="1"/>
  <c r="G26"/>
  <c r="J26" s="1"/>
  <c r="J25"/>
  <c r="L25" s="1"/>
  <c r="O25" s="1"/>
  <c r="G25"/>
  <c r="G24"/>
  <c r="J24" s="1"/>
  <c r="P24" s="1"/>
  <c r="J23"/>
  <c r="P23" s="1"/>
  <c r="G23"/>
  <c r="R22"/>
  <c r="G22"/>
  <c r="J22" s="1"/>
  <c r="L22" s="1"/>
  <c r="O22" s="1"/>
  <c r="G21"/>
  <c r="J21" s="1"/>
  <c r="G20"/>
  <c r="J20" s="1"/>
  <c r="G19"/>
  <c r="J19" s="1"/>
  <c r="J18"/>
  <c r="L18" s="1"/>
  <c r="O18" s="1"/>
  <c r="G18"/>
  <c r="J17"/>
  <c r="P17" s="1"/>
  <c r="G17"/>
  <c r="J16"/>
  <c r="P16" s="1"/>
  <c r="G16"/>
  <c r="G15"/>
  <c r="J15" s="1"/>
  <c r="G14"/>
  <c r="J14" s="1"/>
  <c r="P14" s="1"/>
  <c r="G13"/>
  <c r="J13" s="1"/>
  <c r="J12"/>
  <c r="P12" s="1"/>
  <c r="G12"/>
  <c r="G11"/>
  <c r="J11" s="1"/>
  <c r="G9"/>
  <c r="J9" s="1"/>
  <c r="G8"/>
  <c r="J8" s="1"/>
  <c r="G7"/>
  <c r="J7" s="1"/>
  <c r="L7" s="1"/>
  <c r="O7" s="1"/>
  <c r="F98"/>
  <c r="L98" i="879" l="1"/>
  <c r="O6"/>
  <c r="O98" i="878"/>
  <c r="Q98" s="1"/>
  <c r="Q6"/>
  <c r="Q98" i="877"/>
  <c r="O98" i="876"/>
  <c r="Q98" s="1"/>
  <c r="Q6"/>
  <c r="O98" i="875"/>
  <c r="Q98" s="1"/>
  <c r="Q6"/>
  <c r="O98" i="874"/>
  <c r="Q98" s="1"/>
  <c r="Q6"/>
  <c r="L98" i="873"/>
  <c r="O6"/>
  <c r="P98"/>
  <c r="P101" s="1"/>
  <c r="P86" i="872"/>
  <c r="L19"/>
  <c r="O19" s="1"/>
  <c r="L59"/>
  <c r="O59" s="1"/>
  <c r="L89"/>
  <c r="O89" s="1"/>
  <c r="L94"/>
  <c r="O94" s="1"/>
  <c r="P74"/>
  <c r="L74"/>
  <c r="O74" s="1"/>
  <c r="P42"/>
  <c r="L42"/>
  <c r="O42" s="1"/>
  <c r="P37"/>
  <c r="L37"/>
  <c r="O37" s="1"/>
  <c r="L29"/>
  <c r="O29" s="1"/>
  <c r="L30"/>
  <c r="O30" s="1"/>
  <c r="L45"/>
  <c r="O45" s="1"/>
  <c r="L64"/>
  <c r="O64" s="1"/>
  <c r="L77"/>
  <c r="O77" s="1"/>
  <c r="P48"/>
  <c r="L48"/>
  <c r="O48" s="1"/>
  <c r="P67"/>
  <c r="L67"/>
  <c r="O67" s="1"/>
  <c r="P80"/>
  <c r="L80"/>
  <c r="O80" s="1"/>
  <c r="P9"/>
  <c r="L9"/>
  <c r="O9" s="1"/>
  <c r="P54"/>
  <c r="L54"/>
  <c r="O54" s="1"/>
  <c r="P62"/>
  <c r="L62"/>
  <c r="O62" s="1"/>
  <c r="G98"/>
  <c r="L14"/>
  <c r="O14" s="1"/>
  <c r="L15"/>
  <c r="O15" s="1"/>
  <c r="L22"/>
  <c r="O22" s="1"/>
  <c r="L25"/>
  <c r="O25" s="1"/>
  <c r="L26"/>
  <c r="O26" s="1"/>
  <c r="L33"/>
  <c r="O33" s="1"/>
  <c r="L34"/>
  <c r="O34" s="1"/>
  <c r="L57"/>
  <c r="O57" s="1"/>
  <c r="L70"/>
  <c r="O70" s="1"/>
  <c r="P36"/>
  <c r="L36"/>
  <c r="O36" s="1"/>
  <c r="P50"/>
  <c r="L50"/>
  <c r="O50" s="1"/>
  <c r="L56"/>
  <c r="O56" s="1"/>
  <c r="P56"/>
  <c r="P73"/>
  <c r="L73"/>
  <c r="O73" s="1"/>
  <c r="L10"/>
  <c r="O10" s="1"/>
  <c r="P10"/>
  <c r="P28"/>
  <c r="L28"/>
  <c r="O28" s="1"/>
  <c r="L41"/>
  <c r="O41" s="1"/>
  <c r="P41"/>
  <c r="P49"/>
  <c r="L49"/>
  <c r="O49" s="1"/>
  <c r="P63"/>
  <c r="L63"/>
  <c r="O63" s="1"/>
  <c r="P72"/>
  <c r="L72"/>
  <c r="O72" s="1"/>
  <c r="P83"/>
  <c r="L83"/>
  <c r="O83" s="1"/>
  <c r="P8"/>
  <c r="L8"/>
  <c r="O8" s="1"/>
  <c r="L44"/>
  <c r="O44" s="1"/>
  <c r="P44"/>
  <c r="P53"/>
  <c r="L53"/>
  <c r="O53" s="1"/>
  <c r="L58"/>
  <c r="O58" s="1"/>
  <c r="P58"/>
  <c r="P61"/>
  <c r="L61"/>
  <c r="O61" s="1"/>
  <c r="P66"/>
  <c r="L66"/>
  <c r="O66" s="1"/>
  <c r="P76"/>
  <c r="L76"/>
  <c r="O76" s="1"/>
  <c r="P79"/>
  <c r="L79"/>
  <c r="O79" s="1"/>
  <c r="P17"/>
  <c r="L17"/>
  <c r="O17" s="1"/>
  <c r="P39"/>
  <c r="L39"/>
  <c r="O39" s="1"/>
  <c r="P13"/>
  <c r="L13"/>
  <c r="O13" s="1"/>
  <c r="L21"/>
  <c r="O21" s="1"/>
  <c r="P21"/>
  <c r="L24"/>
  <c r="O24" s="1"/>
  <c r="P24"/>
  <c r="P32"/>
  <c r="L32"/>
  <c r="O32" s="1"/>
  <c r="L47"/>
  <c r="O47" s="1"/>
  <c r="P47"/>
  <c r="P52"/>
  <c r="L52"/>
  <c r="O52" s="1"/>
  <c r="L65"/>
  <c r="O65" s="1"/>
  <c r="P65"/>
  <c r="P69"/>
  <c r="L69"/>
  <c r="O69" s="1"/>
  <c r="P82"/>
  <c r="L82"/>
  <c r="O82" s="1"/>
  <c r="J98"/>
  <c r="E98"/>
  <c r="P7"/>
  <c r="P12"/>
  <c r="P16"/>
  <c r="P27"/>
  <c r="P38"/>
  <c r="P71"/>
  <c r="P75"/>
  <c r="P78"/>
  <c r="P81"/>
  <c r="P88"/>
  <c r="P90"/>
  <c r="P93"/>
  <c r="P95"/>
  <c r="P20"/>
  <c r="P23"/>
  <c r="P31"/>
  <c r="P35"/>
  <c r="P40"/>
  <c r="P43"/>
  <c r="P46"/>
  <c r="P55"/>
  <c r="P60"/>
  <c r="P68"/>
  <c r="P6"/>
  <c r="J83" i="871"/>
  <c r="L83" s="1"/>
  <c r="O83" s="1"/>
  <c r="L56"/>
  <c r="O56" s="1"/>
  <c r="G10"/>
  <c r="J10" s="1"/>
  <c r="P10" s="1"/>
  <c r="P13"/>
  <c r="L13"/>
  <c r="O13" s="1"/>
  <c r="L12"/>
  <c r="O12" s="1"/>
  <c r="L68"/>
  <c r="O68" s="1"/>
  <c r="P71"/>
  <c r="L71"/>
  <c r="O71" s="1"/>
  <c r="L43"/>
  <c r="O43" s="1"/>
  <c r="L63"/>
  <c r="O63" s="1"/>
  <c r="L72"/>
  <c r="O72" s="1"/>
  <c r="L84"/>
  <c r="O84" s="1"/>
  <c r="L10"/>
  <c r="O10" s="1"/>
  <c r="P41"/>
  <c r="L41"/>
  <c r="O41" s="1"/>
  <c r="P75"/>
  <c r="L75"/>
  <c r="O75" s="1"/>
  <c r="P78"/>
  <c r="L78"/>
  <c r="O78" s="1"/>
  <c r="P9"/>
  <c r="L9"/>
  <c r="O9" s="1"/>
  <c r="P21"/>
  <c r="L21"/>
  <c r="O21" s="1"/>
  <c r="P40"/>
  <c r="L40"/>
  <c r="O40" s="1"/>
  <c r="P58"/>
  <c r="L58"/>
  <c r="O58" s="1"/>
  <c r="P20"/>
  <c r="L20"/>
  <c r="O20" s="1"/>
  <c r="P38"/>
  <c r="L38"/>
  <c r="O38" s="1"/>
  <c r="P49"/>
  <c r="L49"/>
  <c r="O49" s="1"/>
  <c r="P52"/>
  <c r="L52"/>
  <c r="O52" s="1"/>
  <c r="P83"/>
  <c r="P27"/>
  <c r="L27"/>
  <c r="O27" s="1"/>
  <c r="P65"/>
  <c r="L65"/>
  <c r="O65" s="1"/>
  <c r="P76"/>
  <c r="L76"/>
  <c r="O76" s="1"/>
  <c r="P81"/>
  <c r="L81"/>
  <c r="O81" s="1"/>
  <c r="P93"/>
  <c r="L16"/>
  <c r="O16" s="1"/>
  <c r="L17"/>
  <c r="O17" s="1"/>
  <c r="L23"/>
  <c r="O23" s="1"/>
  <c r="L24"/>
  <c r="O24" s="1"/>
  <c r="L31"/>
  <c r="O31" s="1"/>
  <c r="L32"/>
  <c r="O32" s="1"/>
  <c r="L46"/>
  <c r="O46" s="1"/>
  <c r="L47"/>
  <c r="O47" s="1"/>
  <c r="L86"/>
  <c r="O86" s="1"/>
  <c r="L96"/>
  <c r="O96" s="1"/>
  <c r="L8"/>
  <c r="O8" s="1"/>
  <c r="P8"/>
  <c r="L11"/>
  <c r="O11" s="1"/>
  <c r="P11"/>
  <c r="P19"/>
  <c r="L19"/>
  <c r="O19" s="1"/>
  <c r="L26"/>
  <c r="O26" s="1"/>
  <c r="P26"/>
  <c r="L34"/>
  <c r="O34" s="1"/>
  <c r="P34"/>
  <c r="L37"/>
  <c r="O37" s="1"/>
  <c r="P37"/>
  <c r="L59"/>
  <c r="O59" s="1"/>
  <c r="P59"/>
  <c r="L62"/>
  <c r="O62" s="1"/>
  <c r="P62"/>
  <c r="L77"/>
  <c r="O77" s="1"/>
  <c r="P77"/>
  <c r="L80"/>
  <c r="O80" s="1"/>
  <c r="P80"/>
  <c r="L48"/>
  <c r="O48" s="1"/>
  <c r="P48"/>
  <c r="L74"/>
  <c r="O74" s="1"/>
  <c r="P74"/>
  <c r="L15"/>
  <c r="O15" s="1"/>
  <c r="P15"/>
  <c r="L30"/>
  <c r="O30" s="1"/>
  <c r="P30"/>
  <c r="L45"/>
  <c r="O45" s="1"/>
  <c r="P45"/>
  <c r="L51"/>
  <c r="O51" s="1"/>
  <c r="P51"/>
  <c r="L57"/>
  <c r="O57" s="1"/>
  <c r="P57"/>
  <c r="L64"/>
  <c r="O64" s="1"/>
  <c r="P64"/>
  <c r="L42"/>
  <c r="O42" s="1"/>
  <c r="P42"/>
  <c r="L54"/>
  <c r="O54" s="1"/>
  <c r="P54"/>
  <c r="L67"/>
  <c r="O67" s="1"/>
  <c r="P67"/>
  <c r="L70"/>
  <c r="O70" s="1"/>
  <c r="P70"/>
  <c r="P7"/>
  <c r="P18"/>
  <c r="P22"/>
  <c r="P25"/>
  <c r="P36"/>
  <c r="P39"/>
  <c r="P50"/>
  <c r="P53"/>
  <c r="P61"/>
  <c r="P85"/>
  <c r="P87"/>
  <c r="G6"/>
  <c r="L14"/>
  <c r="O14" s="1"/>
  <c r="L29"/>
  <c r="O29" s="1"/>
  <c r="L33"/>
  <c r="O33" s="1"/>
  <c r="L66"/>
  <c r="O66" s="1"/>
  <c r="L69"/>
  <c r="O69" s="1"/>
  <c r="L73"/>
  <c r="O73" s="1"/>
  <c r="L79"/>
  <c r="O79" s="1"/>
  <c r="L82"/>
  <c r="O82" s="1"/>
  <c r="L92"/>
  <c r="O92" s="1"/>
  <c r="L97"/>
  <c r="O97" s="1"/>
  <c r="F6" i="870"/>
  <c r="F98" s="1"/>
  <c r="E6"/>
  <c r="E98" s="1"/>
  <c r="M98"/>
  <c r="K98"/>
  <c r="I98"/>
  <c r="H98"/>
  <c r="D98"/>
  <c r="J97"/>
  <c r="L97" s="1"/>
  <c r="O97" s="1"/>
  <c r="G97"/>
  <c r="J96"/>
  <c r="P96" s="1"/>
  <c r="G96"/>
  <c r="V95"/>
  <c r="J95"/>
  <c r="L95" s="1"/>
  <c r="O95" s="1"/>
  <c r="G95"/>
  <c r="V94"/>
  <c r="J94"/>
  <c r="P94" s="1"/>
  <c r="G94"/>
  <c r="V93"/>
  <c r="L93"/>
  <c r="O93" s="1"/>
  <c r="J93"/>
  <c r="P93" s="1"/>
  <c r="G93"/>
  <c r="J92"/>
  <c r="L92" s="1"/>
  <c r="O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J87"/>
  <c r="L87" s="1"/>
  <c r="O87" s="1"/>
  <c r="G87"/>
  <c r="V86"/>
  <c r="L86"/>
  <c r="O86" s="1"/>
  <c r="J86"/>
  <c r="P86" s="1"/>
  <c r="G86"/>
  <c r="V85"/>
  <c r="J85"/>
  <c r="P85" s="1"/>
  <c r="G85"/>
  <c r="J84"/>
  <c r="P84" s="1"/>
  <c r="G84"/>
  <c r="G83"/>
  <c r="J83" s="1"/>
  <c r="R82"/>
  <c r="G82"/>
  <c r="J82" s="1"/>
  <c r="L82" s="1"/>
  <c r="O82" s="1"/>
  <c r="R81"/>
  <c r="G81"/>
  <c r="J81" s="1"/>
  <c r="G80"/>
  <c r="J80" s="1"/>
  <c r="G79"/>
  <c r="J79" s="1"/>
  <c r="L79" s="1"/>
  <c r="O79" s="1"/>
  <c r="V78"/>
  <c r="G78"/>
  <c r="J78" s="1"/>
  <c r="G77"/>
  <c r="J77" s="1"/>
  <c r="V76"/>
  <c r="J76"/>
  <c r="P76" s="1"/>
  <c r="G76"/>
  <c r="J75"/>
  <c r="P75" s="1"/>
  <c r="G75"/>
  <c r="G74"/>
  <c r="J74" s="1"/>
  <c r="G73"/>
  <c r="J73" s="1"/>
  <c r="P73" s="1"/>
  <c r="G72"/>
  <c r="J72" s="1"/>
  <c r="G71"/>
  <c r="J71" s="1"/>
  <c r="G70"/>
  <c r="J70" s="1"/>
  <c r="J69"/>
  <c r="L69" s="1"/>
  <c r="O69" s="1"/>
  <c r="G69"/>
  <c r="V68"/>
  <c r="G68"/>
  <c r="J68" s="1"/>
  <c r="G67"/>
  <c r="J67" s="1"/>
  <c r="J66"/>
  <c r="P66" s="1"/>
  <c r="G66"/>
  <c r="J65"/>
  <c r="P65" s="1"/>
  <c r="G65"/>
  <c r="V64"/>
  <c r="G64"/>
  <c r="J64" s="1"/>
  <c r="V63"/>
  <c r="G63"/>
  <c r="J63" s="1"/>
  <c r="R62"/>
  <c r="G62"/>
  <c r="J62" s="1"/>
  <c r="G61"/>
  <c r="J61" s="1"/>
  <c r="P61" s="1"/>
  <c r="V60"/>
  <c r="G60"/>
  <c r="J60" s="1"/>
  <c r="G59"/>
  <c r="J59" s="1"/>
  <c r="R58"/>
  <c r="J58"/>
  <c r="P58" s="1"/>
  <c r="G58"/>
  <c r="V57"/>
  <c r="G57"/>
  <c r="J57" s="1"/>
  <c r="V56"/>
  <c r="G56"/>
  <c r="J56" s="1"/>
  <c r="G55"/>
  <c r="J55" s="1"/>
  <c r="G54"/>
  <c r="J54" s="1"/>
  <c r="J53"/>
  <c r="L53" s="1"/>
  <c r="O53" s="1"/>
  <c r="G53"/>
  <c r="J52"/>
  <c r="P52" s="1"/>
  <c r="G52"/>
  <c r="V51"/>
  <c r="G51"/>
  <c r="J51" s="1"/>
  <c r="J50"/>
  <c r="P50" s="1"/>
  <c r="G50"/>
  <c r="G49"/>
  <c r="J49" s="1"/>
  <c r="V48"/>
  <c r="G48"/>
  <c r="J48" s="1"/>
  <c r="V47"/>
  <c r="L47"/>
  <c r="O47" s="1"/>
  <c r="J47"/>
  <c r="P47" s="1"/>
  <c r="G47"/>
  <c r="J46"/>
  <c r="P46" s="1"/>
  <c r="G46"/>
  <c r="G45"/>
  <c r="J45" s="1"/>
  <c r="R44"/>
  <c r="G44"/>
  <c r="J44" s="1"/>
  <c r="G43"/>
  <c r="J43" s="1"/>
  <c r="G42"/>
  <c r="J42" s="1"/>
  <c r="V41"/>
  <c r="G41"/>
  <c r="J41" s="1"/>
  <c r="G40"/>
  <c r="J40" s="1"/>
  <c r="V39"/>
  <c r="G39"/>
  <c r="J39" s="1"/>
  <c r="L39" s="1"/>
  <c r="O39" s="1"/>
  <c r="V38"/>
  <c r="G38"/>
  <c r="J38" s="1"/>
  <c r="G37"/>
  <c r="J37" s="1"/>
  <c r="G36"/>
  <c r="J36" s="1"/>
  <c r="P36" s="1"/>
  <c r="V35"/>
  <c r="G35"/>
  <c r="J35" s="1"/>
  <c r="G34"/>
  <c r="J34" s="1"/>
  <c r="G33"/>
  <c r="J33" s="1"/>
  <c r="L33" s="1"/>
  <c r="O33" s="1"/>
  <c r="G32"/>
  <c r="J32" s="1"/>
  <c r="L31"/>
  <c r="O31" s="1"/>
  <c r="J31"/>
  <c r="P31" s="1"/>
  <c r="G31"/>
  <c r="G30"/>
  <c r="J30" s="1"/>
  <c r="J29"/>
  <c r="L29" s="1"/>
  <c r="O29" s="1"/>
  <c r="G29"/>
  <c r="G28"/>
  <c r="J28" s="1"/>
  <c r="G27"/>
  <c r="J27" s="1"/>
  <c r="G26"/>
  <c r="J26" s="1"/>
  <c r="G25"/>
  <c r="J25" s="1"/>
  <c r="P25" s="1"/>
  <c r="L24"/>
  <c r="O24" s="1"/>
  <c r="J24"/>
  <c r="P24" s="1"/>
  <c r="G24"/>
  <c r="J23"/>
  <c r="P23" s="1"/>
  <c r="G23"/>
  <c r="R22"/>
  <c r="J22"/>
  <c r="P22" s="1"/>
  <c r="G22"/>
  <c r="G21"/>
  <c r="J21" s="1"/>
  <c r="G20"/>
  <c r="J20" s="1"/>
  <c r="G19"/>
  <c r="J19" s="1"/>
  <c r="G18"/>
  <c r="J18" s="1"/>
  <c r="P18" s="1"/>
  <c r="J17"/>
  <c r="P17" s="1"/>
  <c r="G17"/>
  <c r="J16"/>
  <c r="P16" s="1"/>
  <c r="G16"/>
  <c r="G15"/>
  <c r="J15" s="1"/>
  <c r="J14"/>
  <c r="L14" s="1"/>
  <c r="O14" s="1"/>
  <c r="G14"/>
  <c r="G13"/>
  <c r="J13" s="1"/>
  <c r="G12"/>
  <c r="J12" s="1"/>
  <c r="G11"/>
  <c r="J11" s="1"/>
  <c r="G10"/>
  <c r="J10" s="1"/>
  <c r="G9"/>
  <c r="J9" s="1"/>
  <c r="G8"/>
  <c r="J8" s="1"/>
  <c r="G7"/>
  <c r="J7" s="1"/>
  <c r="L7" s="1"/>
  <c r="O7" s="1"/>
  <c r="E6" i="869"/>
  <c r="G6" s="1"/>
  <c r="M98"/>
  <c r="K98"/>
  <c r="H98"/>
  <c r="F98"/>
  <c r="D98"/>
  <c r="J97"/>
  <c r="P97" s="1"/>
  <c r="G97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J92"/>
  <c r="P92" s="1"/>
  <c r="G92"/>
  <c r="L91"/>
  <c r="O91" s="1"/>
  <c r="J91"/>
  <c r="P91" s="1"/>
  <c r="G91"/>
  <c r="V90"/>
  <c r="P90"/>
  <c r="J90"/>
  <c r="L90" s="1"/>
  <c r="O90" s="1"/>
  <c r="G90"/>
  <c r="V89"/>
  <c r="L89"/>
  <c r="O89" s="1"/>
  <c r="J89"/>
  <c r="P89" s="1"/>
  <c r="G89"/>
  <c r="V88"/>
  <c r="J88"/>
  <c r="L88" s="1"/>
  <c r="O88" s="1"/>
  <c r="G88"/>
  <c r="J87"/>
  <c r="P87" s="1"/>
  <c r="G87"/>
  <c r="V86"/>
  <c r="J86"/>
  <c r="P86" s="1"/>
  <c r="G86"/>
  <c r="V85"/>
  <c r="J85"/>
  <c r="L85" s="1"/>
  <c r="O85" s="1"/>
  <c r="G85"/>
  <c r="J84"/>
  <c r="P84" s="1"/>
  <c r="G84"/>
  <c r="G83"/>
  <c r="J83" s="1"/>
  <c r="R82"/>
  <c r="J82"/>
  <c r="L82" s="1"/>
  <c r="O82" s="1"/>
  <c r="G82"/>
  <c r="R81"/>
  <c r="G81"/>
  <c r="J81" s="1"/>
  <c r="G80"/>
  <c r="J80" s="1"/>
  <c r="J79"/>
  <c r="L79" s="1"/>
  <c r="O79" s="1"/>
  <c r="G79"/>
  <c r="V78"/>
  <c r="G78"/>
  <c r="J78" s="1"/>
  <c r="G77"/>
  <c r="J77" s="1"/>
  <c r="V76"/>
  <c r="G76"/>
  <c r="J76" s="1"/>
  <c r="P76" s="1"/>
  <c r="J75"/>
  <c r="P75" s="1"/>
  <c r="G75"/>
  <c r="G74"/>
  <c r="J74" s="1"/>
  <c r="G73"/>
  <c r="J73" s="1"/>
  <c r="P73" s="1"/>
  <c r="J72"/>
  <c r="P72" s="1"/>
  <c r="G72"/>
  <c r="J71"/>
  <c r="P71" s="1"/>
  <c r="G71"/>
  <c r="G70"/>
  <c r="J70" s="1"/>
  <c r="J69"/>
  <c r="L69" s="1"/>
  <c r="O69" s="1"/>
  <c r="G69"/>
  <c r="V68"/>
  <c r="J68"/>
  <c r="P68" s="1"/>
  <c r="G68"/>
  <c r="G67"/>
  <c r="J67" s="1"/>
  <c r="J66"/>
  <c r="L66" s="1"/>
  <c r="O66" s="1"/>
  <c r="G66"/>
  <c r="G65"/>
  <c r="J65" s="1"/>
  <c r="P65" s="1"/>
  <c r="V64"/>
  <c r="G64"/>
  <c r="J64" s="1"/>
  <c r="V63"/>
  <c r="L63"/>
  <c r="O63" s="1"/>
  <c r="J63"/>
  <c r="P63" s="1"/>
  <c r="G63"/>
  <c r="R62"/>
  <c r="I98"/>
  <c r="G62"/>
  <c r="J62" s="1"/>
  <c r="J61"/>
  <c r="P61" s="1"/>
  <c r="G61"/>
  <c r="V60"/>
  <c r="G60"/>
  <c r="J60" s="1"/>
  <c r="J59"/>
  <c r="L59" s="1"/>
  <c r="O59" s="1"/>
  <c r="G59"/>
  <c r="R58"/>
  <c r="L58"/>
  <c r="O58" s="1"/>
  <c r="J58"/>
  <c r="P58" s="1"/>
  <c r="G58"/>
  <c r="V57"/>
  <c r="J57"/>
  <c r="L57" s="1"/>
  <c r="O57" s="1"/>
  <c r="G57"/>
  <c r="V56"/>
  <c r="L56"/>
  <c r="O56" s="1"/>
  <c r="J56"/>
  <c r="P56" s="1"/>
  <c r="G56"/>
  <c r="G55"/>
  <c r="J55" s="1"/>
  <c r="J54"/>
  <c r="L54" s="1"/>
  <c r="O54" s="1"/>
  <c r="G54"/>
  <c r="G53"/>
  <c r="J53" s="1"/>
  <c r="G52"/>
  <c r="J52" s="1"/>
  <c r="V51"/>
  <c r="J51"/>
  <c r="L51" s="1"/>
  <c r="O51" s="1"/>
  <c r="G51"/>
  <c r="J50"/>
  <c r="P50" s="1"/>
  <c r="G50"/>
  <c r="G49"/>
  <c r="J49" s="1"/>
  <c r="V48"/>
  <c r="J48"/>
  <c r="L48" s="1"/>
  <c r="O48" s="1"/>
  <c r="G48"/>
  <c r="V47"/>
  <c r="J47"/>
  <c r="P47" s="1"/>
  <c r="G47"/>
  <c r="G46"/>
  <c r="J46" s="1"/>
  <c r="J45"/>
  <c r="P45" s="1"/>
  <c r="G45"/>
  <c r="R44"/>
  <c r="L44"/>
  <c r="O44" s="1"/>
  <c r="J44"/>
  <c r="P44" s="1"/>
  <c r="G44"/>
  <c r="G43"/>
  <c r="J43" s="1"/>
  <c r="J42"/>
  <c r="P42" s="1"/>
  <c r="G42"/>
  <c r="V41"/>
  <c r="J41"/>
  <c r="P41" s="1"/>
  <c r="G41"/>
  <c r="G40"/>
  <c r="J40" s="1"/>
  <c r="V39"/>
  <c r="L39"/>
  <c r="O39" s="1"/>
  <c r="J39"/>
  <c r="P39" s="1"/>
  <c r="G39"/>
  <c r="V38"/>
  <c r="G38"/>
  <c r="J38" s="1"/>
  <c r="J37"/>
  <c r="L37" s="1"/>
  <c r="O37" s="1"/>
  <c r="G37"/>
  <c r="J36"/>
  <c r="P36" s="1"/>
  <c r="G36"/>
  <c r="V35"/>
  <c r="G35"/>
  <c r="J35" s="1"/>
  <c r="J34"/>
  <c r="L34" s="1"/>
  <c r="O34" s="1"/>
  <c r="G34"/>
  <c r="J33"/>
  <c r="P33" s="1"/>
  <c r="G33"/>
  <c r="J32"/>
  <c r="P32" s="1"/>
  <c r="G32"/>
  <c r="G31"/>
  <c r="J31" s="1"/>
  <c r="G30"/>
  <c r="J30" s="1"/>
  <c r="L30" s="1"/>
  <c r="O30" s="1"/>
  <c r="L29"/>
  <c r="O29" s="1"/>
  <c r="J29"/>
  <c r="P29" s="1"/>
  <c r="G29"/>
  <c r="J28"/>
  <c r="P28" s="1"/>
  <c r="G28"/>
  <c r="G27"/>
  <c r="J27" s="1"/>
  <c r="J26"/>
  <c r="L26" s="1"/>
  <c r="O26" s="1"/>
  <c r="G26"/>
  <c r="J25"/>
  <c r="P25" s="1"/>
  <c r="G25"/>
  <c r="J24"/>
  <c r="P24" s="1"/>
  <c r="G24"/>
  <c r="G23"/>
  <c r="J23" s="1"/>
  <c r="R22"/>
  <c r="J22"/>
  <c r="P22" s="1"/>
  <c r="G22"/>
  <c r="J21"/>
  <c r="P21" s="1"/>
  <c r="G21"/>
  <c r="G20"/>
  <c r="J20" s="1"/>
  <c r="G19"/>
  <c r="J19" s="1"/>
  <c r="L19" s="1"/>
  <c r="O19" s="1"/>
  <c r="G18"/>
  <c r="J18" s="1"/>
  <c r="G17"/>
  <c r="J17" s="1"/>
  <c r="G16"/>
  <c r="J16" s="1"/>
  <c r="J15"/>
  <c r="L15" s="1"/>
  <c r="O15" s="1"/>
  <c r="G15"/>
  <c r="G14"/>
  <c r="J14" s="1"/>
  <c r="L13"/>
  <c r="O13" s="1"/>
  <c r="J13"/>
  <c r="P13" s="1"/>
  <c r="G13"/>
  <c r="G12"/>
  <c r="J12" s="1"/>
  <c r="J11"/>
  <c r="P11" s="1"/>
  <c r="G11"/>
  <c r="G10"/>
  <c r="J10" s="1"/>
  <c r="P10" s="1"/>
  <c r="G9"/>
  <c r="J9" s="1"/>
  <c r="G8"/>
  <c r="J8" s="1"/>
  <c r="P8" s="1"/>
  <c r="J7"/>
  <c r="P7" s="1"/>
  <c r="G7"/>
  <c r="I62" i="868"/>
  <c r="J62" s="1"/>
  <c r="M98"/>
  <c r="K98"/>
  <c r="H98"/>
  <c r="F98"/>
  <c r="E98"/>
  <c r="D98"/>
  <c r="L97"/>
  <c r="O97" s="1"/>
  <c r="J97"/>
  <c r="P97" s="1"/>
  <c r="G97"/>
  <c r="O96"/>
  <c r="L96"/>
  <c r="J96"/>
  <c r="P96" s="1"/>
  <c r="G96"/>
  <c r="V95"/>
  <c r="J95"/>
  <c r="L95" s="1"/>
  <c r="O95" s="1"/>
  <c r="G95"/>
  <c r="V94"/>
  <c r="O94"/>
  <c r="L94"/>
  <c r="J94"/>
  <c r="P94" s="1"/>
  <c r="G94"/>
  <c r="V93"/>
  <c r="J93"/>
  <c r="L93" s="1"/>
  <c r="O93" s="1"/>
  <c r="G93"/>
  <c r="J92"/>
  <c r="P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L87"/>
  <c r="O87" s="1"/>
  <c r="J87"/>
  <c r="P87" s="1"/>
  <c r="G87"/>
  <c r="V86"/>
  <c r="J86"/>
  <c r="P86" s="1"/>
  <c r="G86"/>
  <c r="V85"/>
  <c r="J85"/>
  <c r="P85" s="1"/>
  <c r="G85"/>
  <c r="J84"/>
  <c r="P84" s="1"/>
  <c r="G84"/>
  <c r="G83"/>
  <c r="J83" s="1"/>
  <c r="R82"/>
  <c r="G82"/>
  <c r="J82" s="1"/>
  <c r="R81"/>
  <c r="J81"/>
  <c r="L81" s="1"/>
  <c r="O81" s="1"/>
  <c r="G81"/>
  <c r="G80"/>
  <c r="J80" s="1"/>
  <c r="L79"/>
  <c r="O79" s="1"/>
  <c r="J79"/>
  <c r="P79" s="1"/>
  <c r="G79"/>
  <c r="V78"/>
  <c r="J78"/>
  <c r="L78" s="1"/>
  <c r="O78" s="1"/>
  <c r="G78"/>
  <c r="G77"/>
  <c r="J77" s="1"/>
  <c r="V76"/>
  <c r="G76"/>
  <c r="J76" s="1"/>
  <c r="G75"/>
  <c r="J75" s="1"/>
  <c r="L75" s="1"/>
  <c r="O75" s="1"/>
  <c r="J74"/>
  <c r="P74" s="1"/>
  <c r="G74"/>
  <c r="J73"/>
  <c r="P73" s="1"/>
  <c r="G73"/>
  <c r="G72"/>
  <c r="J72" s="1"/>
  <c r="J71"/>
  <c r="L71" s="1"/>
  <c r="O71" s="1"/>
  <c r="G71"/>
  <c r="J70"/>
  <c r="P70" s="1"/>
  <c r="G70"/>
  <c r="J69"/>
  <c r="P69" s="1"/>
  <c r="G69"/>
  <c r="V68"/>
  <c r="G68"/>
  <c r="J68" s="1"/>
  <c r="L68" s="1"/>
  <c r="O68" s="1"/>
  <c r="J67"/>
  <c r="P67" s="1"/>
  <c r="G67"/>
  <c r="J66"/>
  <c r="P66" s="1"/>
  <c r="G66"/>
  <c r="G65"/>
  <c r="J65" s="1"/>
  <c r="V64"/>
  <c r="G64"/>
  <c r="J64" s="1"/>
  <c r="V63"/>
  <c r="G63"/>
  <c r="J63" s="1"/>
  <c r="R62"/>
  <c r="G62"/>
  <c r="J61"/>
  <c r="P61" s="1"/>
  <c r="G61"/>
  <c r="V60"/>
  <c r="J60"/>
  <c r="L60" s="1"/>
  <c r="O60" s="1"/>
  <c r="G60"/>
  <c r="G59"/>
  <c r="J59" s="1"/>
  <c r="R58"/>
  <c r="G58"/>
  <c r="J58" s="1"/>
  <c r="V57"/>
  <c r="L57"/>
  <c r="O57" s="1"/>
  <c r="J57"/>
  <c r="P57" s="1"/>
  <c r="G57"/>
  <c r="V56"/>
  <c r="G56"/>
  <c r="J56" s="1"/>
  <c r="J55"/>
  <c r="L55" s="1"/>
  <c r="O55" s="1"/>
  <c r="G55"/>
  <c r="J54"/>
  <c r="P54" s="1"/>
  <c r="G54"/>
  <c r="J53"/>
  <c r="P53" s="1"/>
  <c r="G53"/>
  <c r="G52"/>
  <c r="J52" s="1"/>
  <c r="V51"/>
  <c r="L51"/>
  <c r="O51" s="1"/>
  <c r="J51"/>
  <c r="P51" s="1"/>
  <c r="G51"/>
  <c r="L50"/>
  <c r="O50" s="1"/>
  <c r="J50"/>
  <c r="P50" s="1"/>
  <c r="G50"/>
  <c r="G49"/>
  <c r="J49" s="1"/>
  <c r="V48"/>
  <c r="L48"/>
  <c r="O48" s="1"/>
  <c r="J48"/>
  <c r="P48" s="1"/>
  <c r="G48"/>
  <c r="V47"/>
  <c r="G47"/>
  <c r="J47" s="1"/>
  <c r="J46"/>
  <c r="L46" s="1"/>
  <c r="O46" s="1"/>
  <c r="G46"/>
  <c r="L45"/>
  <c r="O45" s="1"/>
  <c r="J45"/>
  <c r="P45" s="1"/>
  <c r="G45"/>
  <c r="R44"/>
  <c r="G44"/>
  <c r="J44" s="1"/>
  <c r="J43"/>
  <c r="L43" s="1"/>
  <c r="O43" s="1"/>
  <c r="G43"/>
  <c r="J42"/>
  <c r="P42" s="1"/>
  <c r="G42"/>
  <c r="V41"/>
  <c r="G41"/>
  <c r="J41" s="1"/>
  <c r="J40"/>
  <c r="L40" s="1"/>
  <c r="O40" s="1"/>
  <c r="G40"/>
  <c r="V39"/>
  <c r="J39"/>
  <c r="P39" s="1"/>
  <c r="G39"/>
  <c r="V38"/>
  <c r="J38"/>
  <c r="L38" s="1"/>
  <c r="O38" s="1"/>
  <c r="G38"/>
  <c r="G37"/>
  <c r="J37" s="1"/>
  <c r="G36"/>
  <c r="J36" s="1"/>
  <c r="V35"/>
  <c r="J35"/>
  <c r="L35" s="1"/>
  <c r="O35" s="1"/>
  <c r="G35"/>
  <c r="L34"/>
  <c r="O34" s="1"/>
  <c r="J34"/>
  <c r="P34" s="1"/>
  <c r="G34"/>
  <c r="J33"/>
  <c r="P33" s="1"/>
  <c r="G33"/>
  <c r="G32"/>
  <c r="J32" s="1"/>
  <c r="J31"/>
  <c r="L31" s="1"/>
  <c r="O31" s="1"/>
  <c r="G31"/>
  <c r="G30"/>
  <c r="J30" s="1"/>
  <c r="G29"/>
  <c r="J29" s="1"/>
  <c r="G28"/>
  <c r="J28" s="1"/>
  <c r="J27"/>
  <c r="L27" s="1"/>
  <c r="O27" s="1"/>
  <c r="G27"/>
  <c r="L26"/>
  <c r="O26" s="1"/>
  <c r="J26"/>
  <c r="P26" s="1"/>
  <c r="G26"/>
  <c r="J25"/>
  <c r="P25" s="1"/>
  <c r="G25"/>
  <c r="G24"/>
  <c r="J24" s="1"/>
  <c r="J23"/>
  <c r="L23" s="1"/>
  <c r="O23" s="1"/>
  <c r="G23"/>
  <c r="R22"/>
  <c r="J22"/>
  <c r="P22" s="1"/>
  <c r="G22"/>
  <c r="G21"/>
  <c r="J21" s="1"/>
  <c r="J20"/>
  <c r="L20" s="1"/>
  <c r="O20" s="1"/>
  <c r="G20"/>
  <c r="G19"/>
  <c r="J19" s="1"/>
  <c r="G18"/>
  <c r="J18" s="1"/>
  <c r="G17"/>
  <c r="J17" s="1"/>
  <c r="J16"/>
  <c r="L16" s="1"/>
  <c r="O16" s="1"/>
  <c r="G16"/>
  <c r="L15"/>
  <c r="O15" s="1"/>
  <c r="J15"/>
  <c r="P15" s="1"/>
  <c r="G15"/>
  <c r="L14"/>
  <c r="O14" s="1"/>
  <c r="J14"/>
  <c r="P14" s="1"/>
  <c r="G14"/>
  <c r="G13"/>
  <c r="J13" s="1"/>
  <c r="J12"/>
  <c r="L12" s="1"/>
  <c r="O12" s="1"/>
  <c r="G12"/>
  <c r="G11"/>
  <c r="J11" s="1"/>
  <c r="G10"/>
  <c r="J10" s="1"/>
  <c r="J9"/>
  <c r="L9" s="1"/>
  <c r="O9" s="1"/>
  <c r="G9"/>
  <c r="G8"/>
  <c r="J8" s="1"/>
  <c r="J7"/>
  <c r="P7" s="1"/>
  <c r="G7"/>
  <c r="G6"/>
  <c r="G98" s="1"/>
  <c r="I83" i="867"/>
  <c r="I98" s="1"/>
  <c r="M98"/>
  <c r="K98"/>
  <c r="H98"/>
  <c r="F98"/>
  <c r="E98"/>
  <c r="D98"/>
  <c r="J97"/>
  <c r="P97" s="1"/>
  <c r="G97"/>
  <c r="L96"/>
  <c r="O96" s="1"/>
  <c r="J96"/>
  <c r="P96" s="1"/>
  <c r="G96"/>
  <c r="V95"/>
  <c r="P95"/>
  <c r="O95"/>
  <c r="L95"/>
  <c r="J95"/>
  <c r="G95"/>
  <c r="V94"/>
  <c r="L94"/>
  <c r="O94" s="1"/>
  <c r="J94"/>
  <c r="P94" s="1"/>
  <c r="G94"/>
  <c r="V93"/>
  <c r="L93"/>
  <c r="O93" s="1"/>
  <c r="J93"/>
  <c r="P93" s="1"/>
  <c r="G93"/>
  <c r="J92"/>
  <c r="P92" s="1"/>
  <c r="G92"/>
  <c r="J91"/>
  <c r="P91" s="1"/>
  <c r="G91"/>
  <c r="V90"/>
  <c r="J90"/>
  <c r="L90" s="1"/>
  <c r="O90" s="1"/>
  <c r="G90"/>
  <c r="V89"/>
  <c r="J89"/>
  <c r="P89" s="1"/>
  <c r="G89"/>
  <c r="V88"/>
  <c r="J88"/>
  <c r="P88" s="1"/>
  <c r="G88"/>
  <c r="J87"/>
  <c r="L87" s="1"/>
  <c r="O87" s="1"/>
  <c r="G87"/>
  <c r="V86"/>
  <c r="J86"/>
  <c r="P86" s="1"/>
  <c r="G86"/>
  <c r="V85"/>
  <c r="J85"/>
  <c r="P85" s="1"/>
  <c r="G85"/>
  <c r="L84"/>
  <c r="O84" s="1"/>
  <c r="J84"/>
  <c r="P84" s="1"/>
  <c r="G84"/>
  <c r="G83"/>
  <c r="R82"/>
  <c r="G82"/>
  <c r="J82" s="1"/>
  <c r="P82" s="1"/>
  <c r="R81"/>
  <c r="G81"/>
  <c r="J81" s="1"/>
  <c r="G80"/>
  <c r="J80" s="1"/>
  <c r="J79"/>
  <c r="P79" s="1"/>
  <c r="G79"/>
  <c r="V78"/>
  <c r="G78"/>
  <c r="J78" s="1"/>
  <c r="G77"/>
  <c r="J77" s="1"/>
  <c r="V76"/>
  <c r="J76"/>
  <c r="P76" s="1"/>
  <c r="G76"/>
  <c r="J75"/>
  <c r="P75" s="1"/>
  <c r="G75"/>
  <c r="G74"/>
  <c r="J74" s="1"/>
  <c r="G73"/>
  <c r="J73" s="1"/>
  <c r="L73" s="1"/>
  <c r="O73" s="1"/>
  <c r="L72"/>
  <c r="O72" s="1"/>
  <c r="J72"/>
  <c r="P72" s="1"/>
  <c r="G72"/>
  <c r="L71"/>
  <c r="O71" s="1"/>
  <c r="J71"/>
  <c r="P71" s="1"/>
  <c r="G71"/>
  <c r="G70"/>
  <c r="J70" s="1"/>
  <c r="J69"/>
  <c r="L69" s="1"/>
  <c r="O69" s="1"/>
  <c r="G69"/>
  <c r="V68"/>
  <c r="L68"/>
  <c r="O68" s="1"/>
  <c r="J68"/>
  <c r="P68" s="1"/>
  <c r="G68"/>
  <c r="G67"/>
  <c r="J67" s="1"/>
  <c r="J66"/>
  <c r="P66" s="1"/>
  <c r="G66"/>
  <c r="J65"/>
  <c r="P65" s="1"/>
  <c r="G65"/>
  <c r="V64"/>
  <c r="G64"/>
  <c r="J64" s="1"/>
  <c r="V63"/>
  <c r="J63"/>
  <c r="P63" s="1"/>
  <c r="G63"/>
  <c r="R62"/>
  <c r="G62"/>
  <c r="J62" s="1"/>
  <c r="J61"/>
  <c r="L61" s="1"/>
  <c r="O61" s="1"/>
  <c r="G61"/>
  <c r="V60"/>
  <c r="G60"/>
  <c r="J60" s="1"/>
  <c r="G59"/>
  <c r="J59" s="1"/>
  <c r="R58"/>
  <c r="J58"/>
  <c r="P58" s="1"/>
  <c r="G58"/>
  <c r="V57"/>
  <c r="G57"/>
  <c r="J57" s="1"/>
  <c r="V56"/>
  <c r="J56"/>
  <c r="P56" s="1"/>
  <c r="G56"/>
  <c r="J55"/>
  <c r="P55" s="1"/>
  <c r="G55"/>
  <c r="G54"/>
  <c r="J54" s="1"/>
  <c r="G53"/>
  <c r="J53" s="1"/>
  <c r="P53" s="1"/>
  <c r="J52"/>
  <c r="P52" s="1"/>
  <c r="G52"/>
  <c r="V51"/>
  <c r="G51"/>
  <c r="J51" s="1"/>
  <c r="J50"/>
  <c r="P50" s="1"/>
  <c r="G50"/>
  <c r="G49"/>
  <c r="J49" s="1"/>
  <c r="V48"/>
  <c r="G48"/>
  <c r="J48" s="1"/>
  <c r="V47"/>
  <c r="J47"/>
  <c r="P47" s="1"/>
  <c r="G47"/>
  <c r="G46"/>
  <c r="J46" s="1"/>
  <c r="G45"/>
  <c r="J45" s="1"/>
  <c r="R44"/>
  <c r="J44"/>
  <c r="P44" s="1"/>
  <c r="G44"/>
  <c r="J43"/>
  <c r="P43" s="1"/>
  <c r="G43"/>
  <c r="G42"/>
  <c r="J42" s="1"/>
  <c r="V41"/>
  <c r="G41"/>
  <c r="J41" s="1"/>
  <c r="G40"/>
  <c r="J40" s="1"/>
  <c r="V39"/>
  <c r="G39"/>
  <c r="J39" s="1"/>
  <c r="L39" s="1"/>
  <c r="O39" s="1"/>
  <c r="V38"/>
  <c r="G38"/>
  <c r="J38" s="1"/>
  <c r="G37"/>
  <c r="J37" s="1"/>
  <c r="J36"/>
  <c r="P36" s="1"/>
  <c r="G36"/>
  <c r="V35"/>
  <c r="G35"/>
  <c r="J35" s="1"/>
  <c r="G34"/>
  <c r="J34" s="1"/>
  <c r="J33"/>
  <c r="L33" s="1"/>
  <c r="O33" s="1"/>
  <c r="G33"/>
  <c r="J32"/>
  <c r="P32" s="1"/>
  <c r="G32"/>
  <c r="G31"/>
  <c r="J31" s="1"/>
  <c r="G30"/>
  <c r="J30" s="1"/>
  <c r="J29"/>
  <c r="P29" s="1"/>
  <c r="G29"/>
  <c r="G28"/>
  <c r="J28" s="1"/>
  <c r="G27"/>
  <c r="J27" s="1"/>
  <c r="G26"/>
  <c r="J26" s="1"/>
  <c r="G25"/>
  <c r="J25" s="1"/>
  <c r="L25" s="1"/>
  <c r="O25" s="1"/>
  <c r="L24"/>
  <c r="O24" s="1"/>
  <c r="J24"/>
  <c r="P24" s="1"/>
  <c r="G24"/>
  <c r="J23"/>
  <c r="P23" s="1"/>
  <c r="G23"/>
  <c r="R22"/>
  <c r="J22"/>
  <c r="L22" s="1"/>
  <c r="O22" s="1"/>
  <c r="G22"/>
  <c r="G21"/>
  <c r="J21" s="1"/>
  <c r="G20"/>
  <c r="J20" s="1"/>
  <c r="G19"/>
  <c r="J19" s="1"/>
  <c r="J18"/>
  <c r="P18" s="1"/>
  <c r="G18"/>
  <c r="J17"/>
  <c r="P17" s="1"/>
  <c r="G17"/>
  <c r="G16"/>
  <c r="J16" s="1"/>
  <c r="G15"/>
  <c r="J15" s="1"/>
  <c r="J14"/>
  <c r="P14" s="1"/>
  <c r="G14"/>
  <c r="G13"/>
  <c r="J13" s="1"/>
  <c r="G12"/>
  <c r="J12" s="1"/>
  <c r="G11"/>
  <c r="J11" s="1"/>
  <c r="G10"/>
  <c r="J10" s="1"/>
  <c r="G9"/>
  <c r="J9" s="1"/>
  <c r="G8"/>
  <c r="J8" s="1"/>
  <c r="G7"/>
  <c r="J7" s="1"/>
  <c r="P7" s="1"/>
  <c r="G6"/>
  <c r="J6" s="1"/>
  <c r="L6" s="1"/>
  <c r="O6" s="1"/>
  <c r="O98" i="879" l="1"/>
  <c r="Q98" s="1"/>
  <c r="Q6"/>
  <c r="O98" i="873"/>
  <c r="Q98" s="1"/>
  <c r="Q6"/>
  <c r="Q10" i="872"/>
  <c r="P98"/>
  <c r="P101" s="1"/>
  <c r="O98"/>
  <c r="L98"/>
  <c r="Q6"/>
  <c r="Q10" i="871"/>
  <c r="G98"/>
  <c r="J6"/>
  <c r="L23" i="870"/>
  <c r="O23" s="1"/>
  <c r="L16"/>
  <c r="O16" s="1"/>
  <c r="L46"/>
  <c r="O46" s="1"/>
  <c r="P32"/>
  <c r="L32"/>
  <c r="O32" s="1"/>
  <c r="P88"/>
  <c r="L17"/>
  <c r="O17" s="1"/>
  <c r="L91"/>
  <c r="O91" s="1"/>
  <c r="P95"/>
  <c r="L96"/>
  <c r="O96" s="1"/>
  <c r="P9"/>
  <c r="L9"/>
  <c r="O9" s="1"/>
  <c r="P68"/>
  <c r="L68"/>
  <c r="O68" s="1"/>
  <c r="P12"/>
  <c r="L12"/>
  <c r="O12" s="1"/>
  <c r="P41"/>
  <c r="L41"/>
  <c r="O41" s="1"/>
  <c r="P44"/>
  <c r="L44"/>
  <c r="O44" s="1"/>
  <c r="P63"/>
  <c r="L63"/>
  <c r="O63" s="1"/>
  <c r="P78"/>
  <c r="L78"/>
  <c r="O78" s="1"/>
  <c r="P81"/>
  <c r="L81"/>
  <c r="O81" s="1"/>
  <c r="P83"/>
  <c r="L83"/>
  <c r="O83" s="1"/>
  <c r="P56"/>
  <c r="L56"/>
  <c r="O56" s="1"/>
  <c r="P10"/>
  <c r="L10"/>
  <c r="O10" s="1"/>
  <c r="P21"/>
  <c r="L21"/>
  <c r="O21" s="1"/>
  <c r="P27"/>
  <c r="L27"/>
  <c r="O27" s="1"/>
  <c r="P55"/>
  <c r="L55"/>
  <c r="O55" s="1"/>
  <c r="P71"/>
  <c r="L71"/>
  <c r="O71" s="1"/>
  <c r="P13"/>
  <c r="L13"/>
  <c r="O13" s="1"/>
  <c r="P20"/>
  <c r="L20"/>
  <c r="O20" s="1"/>
  <c r="P49"/>
  <c r="L49"/>
  <c r="O49" s="1"/>
  <c r="P28"/>
  <c r="L28"/>
  <c r="O28" s="1"/>
  <c r="P35"/>
  <c r="L35"/>
  <c r="O35" s="1"/>
  <c r="P38"/>
  <c r="L38"/>
  <c r="O38" s="1"/>
  <c r="P40"/>
  <c r="L40"/>
  <c r="O40" s="1"/>
  <c r="P43"/>
  <c r="L43"/>
  <c r="O43" s="1"/>
  <c r="P60"/>
  <c r="L60"/>
  <c r="O60" s="1"/>
  <c r="P72"/>
  <c r="L72"/>
  <c r="O72" s="1"/>
  <c r="P90"/>
  <c r="L84"/>
  <c r="O84" s="1"/>
  <c r="L94"/>
  <c r="O94" s="1"/>
  <c r="L52"/>
  <c r="O52" s="1"/>
  <c r="L58"/>
  <c r="O58" s="1"/>
  <c r="L65"/>
  <c r="O65" s="1"/>
  <c r="L75"/>
  <c r="O75" s="1"/>
  <c r="L76"/>
  <c r="O76" s="1"/>
  <c r="L89"/>
  <c r="O89" s="1"/>
  <c r="L11"/>
  <c r="O11" s="1"/>
  <c r="P11"/>
  <c r="L26"/>
  <c r="O26" s="1"/>
  <c r="P26"/>
  <c r="L37"/>
  <c r="O37" s="1"/>
  <c r="P37"/>
  <c r="L59"/>
  <c r="O59" s="1"/>
  <c r="P59"/>
  <c r="L80"/>
  <c r="O80" s="1"/>
  <c r="P80"/>
  <c r="L48"/>
  <c r="O48" s="1"/>
  <c r="P48"/>
  <c r="L74"/>
  <c r="O74" s="1"/>
  <c r="P74"/>
  <c r="L42"/>
  <c r="O42" s="1"/>
  <c r="P42"/>
  <c r="L54"/>
  <c r="O54" s="1"/>
  <c r="P54"/>
  <c r="L67"/>
  <c r="O67" s="1"/>
  <c r="P67"/>
  <c r="L70"/>
  <c r="O70" s="1"/>
  <c r="P70"/>
  <c r="L8"/>
  <c r="O8" s="1"/>
  <c r="P8"/>
  <c r="L19"/>
  <c r="O19" s="1"/>
  <c r="P19"/>
  <c r="L34"/>
  <c r="O34" s="1"/>
  <c r="P34"/>
  <c r="L62"/>
  <c r="O62" s="1"/>
  <c r="P62"/>
  <c r="L77"/>
  <c r="O77" s="1"/>
  <c r="P77"/>
  <c r="L15"/>
  <c r="O15" s="1"/>
  <c r="P15"/>
  <c r="L30"/>
  <c r="O30" s="1"/>
  <c r="P30"/>
  <c r="L45"/>
  <c r="O45" s="1"/>
  <c r="P45"/>
  <c r="L51"/>
  <c r="O51" s="1"/>
  <c r="P51"/>
  <c r="L57"/>
  <c r="O57" s="1"/>
  <c r="P57"/>
  <c r="L64"/>
  <c r="O64" s="1"/>
  <c r="P64"/>
  <c r="P7"/>
  <c r="P14"/>
  <c r="P29"/>
  <c r="P33"/>
  <c r="P39"/>
  <c r="P53"/>
  <c r="P69"/>
  <c r="P79"/>
  <c r="P82"/>
  <c r="P87"/>
  <c r="P92"/>
  <c r="P97"/>
  <c r="G6"/>
  <c r="L18"/>
  <c r="O18" s="1"/>
  <c r="L22"/>
  <c r="O22" s="1"/>
  <c r="L25"/>
  <c r="O25" s="1"/>
  <c r="L36"/>
  <c r="O36" s="1"/>
  <c r="L50"/>
  <c r="O50" s="1"/>
  <c r="L61"/>
  <c r="O61" s="1"/>
  <c r="L66"/>
  <c r="O66" s="1"/>
  <c r="L73"/>
  <c r="O73" s="1"/>
  <c r="L85"/>
  <c r="O85" s="1"/>
  <c r="P88" i="869"/>
  <c r="E98"/>
  <c r="L22"/>
  <c r="O22" s="1"/>
  <c r="L28"/>
  <c r="O28" s="1"/>
  <c r="L47"/>
  <c r="O47" s="1"/>
  <c r="L68"/>
  <c r="O68" s="1"/>
  <c r="L71"/>
  <c r="O71" s="1"/>
  <c r="L72"/>
  <c r="O72" s="1"/>
  <c r="P14"/>
  <c r="L14"/>
  <c r="O14" s="1"/>
  <c r="P49"/>
  <c r="L49"/>
  <c r="O49" s="1"/>
  <c r="G98"/>
  <c r="L7"/>
  <c r="O7" s="1"/>
  <c r="L21"/>
  <c r="O21" s="1"/>
  <c r="L36"/>
  <c r="O36" s="1"/>
  <c r="L41"/>
  <c r="O41" s="1"/>
  <c r="L50"/>
  <c r="O50" s="1"/>
  <c r="L84"/>
  <c r="O84" s="1"/>
  <c r="P18"/>
  <c r="L18"/>
  <c r="O18" s="1"/>
  <c r="P17"/>
  <c r="L17"/>
  <c r="O17" s="1"/>
  <c r="P52"/>
  <c r="L52"/>
  <c r="O52" s="1"/>
  <c r="P81"/>
  <c r="L81"/>
  <c r="O81" s="1"/>
  <c r="P78"/>
  <c r="L78"/>
  <c r="O78" s="1"/>
  <c r="P53"/>
  <c r="L53"/>
  <c r="O53" s="1"/>
  <c r="L10"/>
  <c r="O10" s="1"/>
  <c r="Q10" s="1"/>
  <c r="L24"/>
  <c r="O24" s="1"/>
  <c r="L25"/>
  <c r="O25" s="1"/>
  <c r="L32"/>
  <c r="O32" s="1"/>
  <c r="L33"/>
  <c r="O33" s="1"/>
  <c r="L61"/>
  <c r="O61" s="1"/>
  <c r="L65"/>
  <c r="O65" s="1"/>
  <c r="L75"/>
  <c r="O75" s="1"/>
  <c r="L76"/>
  <c r="O76" s="1"/>
  <c r="L86"/>
  <c r="O86" s="1"/>
  <c r="P93"/>
  <c r="L94"/>
  <c r="O94" s="1"/>
  <c r="P95"/>
  <c r="L96"/>
  <c r="O96" s="1"/>
  <c r="L35"/>
  <c r="O35" s="1"/>
  <c r="P35"/>
  <c r="L67"/>
  <c r="O67" s="1"/>
  <c r="P67"/>
  <c r="L16"/>
  <c r="O16" s="1"/>
  <c r="P16"/>
  <c r="L38"/>
  <c r="O38" s="1"/>
  <c r="P38"/>
  <c r="L77"/>
  <c r="O77" s="1"/>
  <c r="P77"/>
  <c r="L80"/>
  <c r="O80" s="1"/>
  <c r="P80"/>
  <c r="L12"/>
  <c r="O12" s="1"/>
  <c r="P12"/>
  <c r="L20"/>
  <c r="O20" s="1"/>
  <c r="P20"/>
  <c r="L40"/>
  <c r="O40" s="1"/>
  <c r="P40"/>
  <c r="L43"/>
  <c r="O43" s="1"/>
  <c r="P43"/>
  <c r="L46"/>
  <c r="O46" s="1"/>
  <c r="P46"/>
  <c r="L55"/>
  <c r="O55" s="1"/>
  <c r="P55"/>
  <c r="L60"/>
  <c r="O60" s="1"/>
  <c r="P60"/>
  <c r="L64"/>
  <c r="O64" s="1"/>
  <c r="P64"/>
  <c r="L27"/>
  <c r="O27" s="1"/>
  <c r="P27"/>
  <c r="L70"/>
  <c r="O70" s="1"/>
  <c r="P70"/>
  <c r="P83"/>
  <c r="L83"/>
  <c r="O83" s="1"/>
  <c r="L9"/>
  <c r="O9" s="1"/>
  <c r="P9"/>
  <c r="L23"/>
  <c r="O23" s="1"/>
  <c r="P23"/>
  <c r="L31"/>
  <c r="O31" s="1"/>
  <c r="P31"/>
  <c r="L62"/>
  <c r="O62" s="1"/>
  <c r="P62"/>
  <c r="L74"/>
  <c r="O74" s="1"/>
  <c r="P74"/>
  <c r="P15"/>
  <c r="P19"/>
  <c r="P26"/>
  <c r="P30"/>
  <c r="P34"/>
  <c r="P37"/>
  <c r="P48"/>
  <c r="P51"/>
  <c r="P54"/>
  <c r="P57"/>
  <c r="P59"/>
  <c r="P66"/>
  <c r="P69"/>
  <c r="P79"/>
  <c r="P82"/>
  <c r="P85"/>
  <c r="J6"/>
  <c r="L8"/>
  <c r="O8" s="1"/>
  <c r="L11"/>
  <c r="O11" s="1"/>
  <c r="L42"/>
  <c r="O42" s="1"/>
  <c r="L45"/>
  <c r="O45" s="1"/>
  <c r="L73"/>
  <c r="O73" s="1"/>
  <c r="L87"/>
  <c r="O87" s="1"/>
  <c r="L92"/>
  <c r="O92" s="1"/>
  <c r="L97"/>
  <c r="O97" s="1"/>
  <c r="P62" i="868"/>
  <c r="L62"/>
  <c r="O62" s="1"/>
  <c r="I98"/>
  <c r="L33"/>
  <c r="O33" s="1"/>
  <c r="L22"/>
  <c r="O22" s="1"/>
  <c r="P80"/>
  <c r="L80"/>
  <c r="O80" s="1"/>
  <c r="L7"/>
  <c r="O7" s="1"/>
  <c r="L25"/>
  <c r="O25" s="1"/>
  <c r="L39"/>
  <c r="O39" s="1"/>
  <c r="L61"/>
  <c r="O61" s="1"/>
  <c r="L66"/>
  <c r="O66" s="1"/>
  <c r="L67"/>
  <c r="O67" s="1"/>
  <c r="L73"/>
  <c r="O73" s="1"/>
  <c r="L74"/>
  <c r="O74" s="1"/>
  <c r="P8"/>
  <c r="L8"/>
  <c r="O8" s="1"/>
  <c r="P11"/>
  <c r="L11"/>
  <c r="O11" s="1"/>
  <c r="P30"/>
  <c r="L30"/>
  <c r="O30" s="1"/>
  <c r="P77"/>
  <c r="L77"/>
  <c r="O77" s="1"/>
  <c r="P19"/>
  <c r="L19"/>
  <c r="O19" s="1"/>
  <c r="P29"/>
  <c r="L29"/>
  <c r="O29" s="1"/>
  <c r="P64"/>
  <c r="L64"/>
  <c r="O64" s="1"/>
  <c r="P18"/>
  <c r="L18"/>
  <c r="O18" s="1"/>
  <c r="P37"/>
  <c r="L37"/>
  <c r="O37" s="1"/>
  <c r="P59"/>
  <c r="L59"/>
  <c r="O59" s="1"/>
  <c r="P36"/>
  <c r="L36"/>
  <c r="O36" s="1"/>
  <c r="P82"/>
  <c r="L82"/>
  <c r="O82" s="1"/>
  <c r="J6"/>
  <c r="P6" s="1"/>
  <c r="L42"/>
  <c r="O42" s="1"/>
  <c r="L53"/>
  <c r="O53" s="1"/>
  <c r="L54"/>
  <c r="O54" s="1"/>
  <c r="L69"/>
  <c r="O69" s="1"/>
  <c r="L70"/>
  <c r="O70" s="1"/>
  <c r="L84"/>
  <c r="O84" s="1"/>
  <c r="L85"/>
  <c r="O85" s="1"/>
  <c r="L86"/>
  <c r="O86" s="1"/>
  <c r="L89"/>
  <c r="O89" s="1"/>
  <c r="L91"/>
  <c r="O91" s="1"/>
  <c r="L92"/>
  <c r="O92" s="1"/>
  <c r="L44"/>
  <c r="O44" s="1"/>
  <c r="P44"/>
  <c r="L56"/>
  <c r="O56" s="1"/>
  <c r="P56"/>
  <c r="L65"/>
  <c r="O65" s="1"/>
  <c r="P65"/>
  <c r="L72"/>
  <c r="O72" s="1"/>
  <c r="P72"/>
  <c r="L10"/>
  <c r="O10" s="1"/>
  <c r="P10"/>
  <c r="L13"/>
  <c r="O13" s="1"/>
  <c r="P13"/>
  <c r="L21"/>
  <c r="O21" s="1"/>
  <c r="P21"/>
  <c r="L24"/>
  <c r="O24" s="1"/>
  <c r="P24"/>
  <c r="L32"/>
  <c r="O32" s="1"/>
  <c r="P32"/>
  <c r="L41"/>
  <c r="O41" s="1"/>
  <c r="P41"/>
  <c r="L49"/>
  <c r="O49" s="1"/>
  <c r="P49"/>
  <c r="L83"/>
  <c r="O83" s="1"/>
  <c r="P83"/>
  <c r="L17"/>
  <c r="O17" s="1"/>
  <c r="P17"/>
  <c r="L28"/>
  <c r="O28" s="1"/>
  <c r="P28"/>
  <c r="L47"/>
  <c r="O47" s="1"/>
  <c r="P47"/>
  <c r="L52"/>
  <c r="O52" s="1"/>
  <c r="P52"/>
  <c r="L58"/>
  <c r="O58" s="1"/>
  <c r="P58"/>
  <c r="L63"/>
  <c r="O63" s="1"/>
  <c r="P63"/>
  <c r="L76"/>
  <c r="O76" s="1"/>
  <c r="P76"/>
  <c r="P9"/>
  <c r="P12"/>
  <c r="P16"/>
  <c r="P20"/>
  <c r="P23"/>
  <c r="P27"/>
  <c r="P31"/>
  <c r="P35"/>
  <c r="P38"/>
  <c r="P40"/>
  <c r="P43"/>
  <c r="P46"/>
  <c r="P55"/>
  <c r="P60"/>
  <c r="P68"/>
  <c r="P71"/>
  <c r="P75"/>
  <c r="P78"/>
  <c r="P81"/>
  <c r="P88"/>
  <c r="P90"/>
  <c r="P93"/>
  <c r="P95"/>
  <c r="J83" i="867"/>
  <c r="J98" s="1"/>
  <c r="L23"/>
  <c r="O23" s="1"/>
  <c r="L88"/>
  <c r="O88" s="1"/>
  <c r="L86"/>
  <c r="O86" s="1"/>
  <c r="P46"/>
  <c r="L46"/>
  <c r="O46" s="1"/>
  <c r="P16"/>
  <c r="L16"/>
  <c r="O16" s="1"/>
  <c r="P31"/>
  <c r="L31"/>
  <c r="O31" s="1"/>
  <c r="L17"/>
  <c r="O17" s="1"/>
  <c r="L32"/>
  <c r="O32" s="1"/>
  <c r="L43"/>
  <c r="O43" s="1"/>
  <c r="L44"/>
  <c r="O44" s="1"/>
  <c r="L47"/>
  <c r="O47" s="1"/>
  <c r="L55"/>
  <c r="O55" s="1"/>
  <c r="L56"/>
  <c r="O56" s="1"/>
  <c r="L63"/>
  <c r="O63" s="1"/>
  <c r="L91"/>
  <c r="O91" s="1"/>
  <c r="P9"/>
  <c r="L9"/>
  <c r="O9" s="1"/>
  <c r="P13"/>
  <c r="L13"/>
  <c r="O13" s="1"/>
  <c r="P28"/>
  <c r="L28"/>
  <c r="O28" s="1"/>
  <c r="P41"/>
  <c r="L41"/>
  <c r="O41" s="1"/>
  <c r="P12"/>
  <c r="L12"/>
  <c r="O12" s="1"/>
  <c r="P27"/>
  <c r="L27"/>
  <c r="O27" s="1"/>
  <c r="P40"/>
  <c r="L40"/>
  <c r="O40" s="1"/>
  <c r="P21"/>
  <c r="L21"/>
  <c r="O21" s="1"/>
  <c r="P38"/>
  <c r="L38"/>
  <c r="O38" s="1"/>
  <c r="P81"/>
  <c r="L81"/>
  <c r="O81" s="1"/>
  <c r="P10"/>
  <c r="L10"/>
  <c r="O10" s="1"/>
  <c r="P20"/>
  <c r="L20"/>
  <c r="O20" s="1"/>
  <c r="P35"/>
  <c r="L35"/>
  <c r="O35" s="1"/>
  <c r="P49"/>
  <c r="L49"/>
  <c r="O49" s="1"/>
  <c r="P60"/>
  <c r="L60"/>
  <c r="O60" s="1"/>
  <c r="P78"/>
  <c r="L78"/>
  <c r="O78" s="1"/>
  <c r="P90"/>
  <c r="G98"/>
  <c r="L52"/>
  <c r="O52" s="1"/>
  <c r="L58"/>
  <c r="O58" s="1"/>
  <c r="L65"/>
  <c r="O65" s="1"/>
  <c r="L75"/>
  <c r="O75" s="1"/>
  <c r="L76"/>
  <c r="O76" s="1"/>
  <c r="L89"/>
  <c r="O89" s="1"/>
  <c r="L42"/>
  <c r="O42" s="1"/>
  <c r="P42"/>
  <c r="L54"/>
  <c r="O54" s="1"/>
  <c r="P54"/>
  <c r="L67"/>
  <c r="O67" s="1"/>
  <c r="P67"/>
  <c r="L70"/>
  <c r="O70" s="1"/>
  <c r="P70"/>
  <c r="L11"/>
  <c r="O11" s="1"/>
  <c r="P11"/>
  <c r="L19"/>
  <c r="O19" s="1"/>
  <c r="P19"/>
  <c r="L26"/>
  <c r="O26" s="1"/>
  <c r="P26"/>
  <c r="L34"/>
  <c r="O34" s="1"/>
  <c r="P34"/>
  <c r="L37"/>
  <c r="O37" s="1"/>
  <c r="P37"/>
  <c r="L59"/>
  <c r="O59" s="1"/>
  <c r="P59"/>
  <c r="L62"/>
  <c r="O62" s="1"/>
  <c r="P62"/>
  <c r="L77"/>
  <c r="O77" s="1"/>
  <c r="P77"/>
  <c r="L80"/>
  <c r="O80" s="1"/>
  <c r="P80"/>
  <c r="L48"/>
  <c r="O48" s="1"/>
  <c r="P48"/>
  <c r="L74"/>
  <c r="O74" s="1"/>
  <c r="P74"/>
  <c r="P15"/>
  <c r="L15"/>
  <c r="O15" s="1"/>
  <c r="L30"/>
  <c r="O30" s="1"/>
  <c r="P30"/>
  <c r="L45"/>
  <c r="O45" s="1"/>
  <c r="P45"/>
  <c r="L51"/>
  <c r="O51" s="1"/>
  <c r="P51"/>
  <c r="L57"/>
  <c r="O57" s="1"/>
  <c r="P57"/>
  <c r="L64"/>
  <c r="O64" s="1"/>
  <c r="P64"/>
  <c r="P8"/>
  <c r="L8"/>
  <c r="O8" s="1"/>
  <c r="P22"/>
  <c r="P25"/>
  <c r="P33"/>
  <c r="P39"/>
  <c r="P61"/>
  <c r="P69"/>
  <c r="P73"/>
  <c r="P87"/>
  <c r="P6"/>
  <c r="Q6" s="1"/>
  <c r="L7"/>
  <c r="L14"/>
  <c r="O14" s="1"/>
  <c r="L18"/>
  <c r="O18" s="1"/>
  <c r="L29"/>
  <c r="O29" s="1"/>
  <c r="L36"/>
  <c r="O36" s="1"/>
  <c r="L50"/>
  <c r="O50" s="1"/>
  <c r="L53"/>
  <c r="O53" s="1"/>
  <c r="L66"/>
  <c r="O66" s="1"/>
  <c r="L79"/>
  <c r="O79" s="1"/>
  <c r="L82"/>
  <c r="O82" s="1"/>
  <c r="L85"/>
  <c r="O85" s="1"/>
  <c r="L92"/>
  <c r="O92" s="1"/>
  <c r="L97"/>
  <c r="O97" s="1"/>
  <c r="M98" i="866"/>
  <c r="K98"/>
  <c r="H98"/>
  <c r="F98"/>
  <c r="E98"/>
  <c r="D98"/>
  <c r="J97"/>
  <c r="L97" s="1"/>
  <c r="O97" s="1"/>
  <c r="G97"/>
  <c r="J96"/>
  <c r="P96" s="1"/>
  <c r="G96"/>
  <c r="V95"/>
  <c r="J95"/>
  <c r="L95" s="1"/>
  <c r="O95" s="1"/>
  <c r="G95"/>
  <c r="V94"/>
  <c r="J94"/>
  <c r="P94" s="1"/>
  <c r="G94"/>
  <c r="V93"/>
  <c r="L93"/>
  <c r="O93" s="1"/>
  <c r="J93"/>
  <c r="P93" s="1"/>
  <c r="G93"/>
  <c r="J92"/>
  <c r="L92" s="1"/>
  <c r="O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J87"/>
  <c r="L87" s="1"/>
  <c r="O87" s="1"/>
  <c r="G87"/>
  <c r="V86"/>
  <c r="L86"/>
  <c r="O86" s="1"/>
  <c r="J86"/>
  <c r="P86" s="1"/>
  <c r="G86"/>
  <c r="V85"/>
  <c r="J85"/>
  <c r="L85" s="1"/>
  <c r="O85" s="1"/>
  <c r="G85"/>
  <c r="J84"/>
  <c r="P84" s="1"/>
  <c r="G84"/>
  <c r="I98"/>
  <c r="G83"/>
  <c r="J83" s="1"/>
  <c r="R82"/>
  <c r="J82"/>
  <c r="P82" s="1"/>
  <c r="G82"/>
  <c r="R81"/>
  <c r="G81"/>
  <c r="J81" s="1"/>
  <c r="J80"/>
  <c r="L80" s="1"/>
  <c r="O80" s="1"/>
  <c r="G80"/>
  <c r="G79"/>
  <c r="J79" s="1"/>
  <c r="P79" s="1"/>
  <c r="V78"/>
  <c r="G78"/>
  <c r="J78" s="1"/>
  <c r="G77"/>
  <c r="J77" s="1"/>
  <c r="L77" s="1"/>
  <c r="O77" s="1"/>
  <c r="V76"/>
  <c r="G76"/>
  <c r="J76" s="1"/>
  <c r="G75"/>
  <c r="J75" s="1"/>
  <c r="J74"/>
  <c r="P74" s="1"/>
  <c r="G74"/>
  <c r="G73"/>
  <c r="J73" s="1"/>
  <c r="G72"/>
  <c r="J72" s="1"/>
  <c r="G71"/>
  <c r="J71" s="1"/>
  <c r="G70"/>
  <c r="J70" s="1"/>
  <c r="L70" s="1"/>
  <c r="O70" s="1"/>
  <c r="J69"/>
  <c r="P69" s="1"/>
  <c r="G69"/>
  <c r="V68"/>
  <c r="G68"/>
  <c r="J68" s="1"/>
  <c r="J67"/>
  <c r="P67" s="1"/>
  <c r="G67"/>
  <c r="G66"/>
  <c r="J66" s="1"/>
  <c r="P66" s="1"/>
  <c r="J65"/>
  <c r="P65" s="1"/>
  <c r="G65"/>
  <c r="V64"/>
  <c r="G64"/>
  <c r="J64" s="1"/>
  <c r="P64" s="1"/>
  <c r="V63"/>
  <c r="J63"/>
  <c r="P63" s="1"/>
  <c r="G63"/>
  <c r="R62"/>
  <c r="G62"/>
  <c r="J62" s="1"/>
  <c r="P62" s="1"/>
  <c r="G61"/>
  <c r="J61" s="1"/>
  <c r="V60"/>
  <c r="G60"/>
  <c r="J60" s="1"/>
  <c r="G59"/>
  <c r="J59" s="1"/>
  <c r="L59" s="1"/>
  <c r="O59" s="1"/>
  <c r="R58"/>
  <c r="G58"/>
  <c r="J58" s="1"/>
  <c r="V57"/>
  <c r="G57"/>
  <c r="J57" s="1"/>
  <c r="P57" s="1"/>
  <c r="V56"/>
  <c r="G56"/>
  <c r="J56" s="1"/>
  <c r="G55"/>
  <c r="J55" s="1"/>
  <c r="G54"/>
  <c r="J54" s="1"/>
  <c r="L54" s="1"/>
  <c r="O54" s="1"/>
  <c r="G53"/>
  <c r="J53" s="1"/>
  <c r="L52"/>
  <c r="O52" s="1"/>
  <c r="J52"/>
  <c r="P52" s="1"/>
  <c r="G52"/>
  <c r="V51"/>
  <c r="J51"/>
  <c r="L51" s="1"/>
  <c r="O51" s="1"/>
  <c r="G51"/>
  <c r="G50"/>
  <c r="J50" s="1"/>
  <c r="G49"/>
  <c r="J49" s="1"/>
  <c r="V48"/>
  <c r="G48"/>
  <c r="J48" s="1"/>
  <c r="L48" s="1"/>
  <c r="O48" s="1"/>
  <c r="V47"/>
  <c r="G47"/>
  <c r="J47" s="1"/>
  <c r="G46"/>
  <c r="J46" s="1"/>
  <c r="G45"/>
  <c r="J45" s="1"/>
  <c r="L45" s="1"/>
  <c r="O45" s="1"/>
  <c r="R44"/>
  <c r="G44"/>
  <c r="J44" s="1"/>
  <c r="G43"/>
  <c r="J43" s="1"/>
  <c r="G42"/>
  <c r="J42" s="1"/>
  <c r="L42" s="1"/>
  <c r="O42" s="1"/>
  <c r="V41"/>
  <c r="G41"/>
  <c r="J41" s="1"/>
  <c r="G40"/>
  <c r="J40" s="1"/>
  <c r="V39"/>
  <c r="G39"/>
  <c r="J39" s="1"/>
  <c r="P39" s="1"/>
  <c r="V38"/>
  <c r="G38"/>
  <c r="J38" s="1"/>
  <c r="G37"/>
  <c r="J37" s="1"/>
  <c r="P37" s="1"/>
  <c r="G36"/>
  <c r="J36" s="1"/>
  <c r="V35"/>
  <c r="G35"/>
  <c r="J35" s="1"/>
  <c r="G34"/>
  <c r="J34" s="1"/>
  <c r="P34" s="1"/>
  <c r="G33"/>
  <c r="J33" s="1"/>
  <c r="G32"/>
  <c r="J32" s="1"/>
  <c r="G31"/>
  <c r="J31" s="1"/>
  <c r="J30"/>
  <c r="L30" s="1"/>
  <c r="O30" s="1"/>
  <c r="G30"/>
  <c r="J29"/>
  <c r="P29" s="1"/>
  <c r="G29"/>
  <c r="J28"/>
  <c r="P28" s="1"/>
  <c r="G28"/>
  <c r="G27"/>
  <c r="J27" s="1"/>
  <c r="G26"/>
  <c r="J26" s="1"/>
  <c r="P26" s="1"/>
  <c r="G25"/>
  <c r="J25" s="1"/>
  <c r="G24"/>
  <c r="J24" s="1"/>
  <c r="G23"/>
  <c r="J23" s="1"/>
  <c r="R22"/>
  <c r="G22"/>
  <c r="J22" s="1"/>
  <c r="G21"/>
  <c r="J21" s="1"/>
  <c r="G20"/>
  <c r="J20" s="1"/>
  <c r="G19"/>
  <c r="J19" s="1"/>
  <c r="P19" s="1"/>
  <c r="J18"/>
  <c r="P18" s="1"/>
  <c r="G18"/>
  <c r="J17"/>
  <c r="P17" s="1"/>
  <c r="G17"/>
  <c r="G16"/>
  <c r="J16" s="1"/>
  <c r="G15"/>
  <c r="J15" s="1"/>
  <c r="P15" s="1"/>
  <c r="G14"/>
  <c r="J14" s="1"/>
  <c r="G13"/>
  <c r="J13" s="1"/>
  <c r="G12"/>
  <c r="J12" s="1"/>
  <c r="G11"/>
  <c r="J11" s="1"/>
  <c r="L11" s="1"/>
  <c r="O11" s="1"/>
  <c r="G10"/>
  <c r="J10" s="1"/>
  <c r="G9"/>
  <c r="J9" s="1"/>
  <c r="G8"/>
  <c r="J8" s="1"/>
  <c r="P8" s="1"/>
  <c r="G7"/>
  <c r="J7" s="1"/>
  <c r="P7" s="1"/>
  <c r="G6"/>
  <c r="J6" s="1"/>
  <c r="I83" i="865"/>
  <c r="Q98" i="872" l="1"/>
  <c r="J98" i="871"/>
  <c r="P6"/>
  <c r="P98" s="1"/>
  <c r="P101" s="1"/>
  <c r="L6"/>
  <c r="Q10" i="870"/>
  <c r="J6"/>
  <c r="G98"/>
  <c r="J98" i="869"/>
  <c r="L6"/>
  <c r="P6"/>
  <c r="P98" s="1"/>
  <c r="P101" s="1"/>
  <c r="J98" i="868"/>
  <c r="L6"/>
  <c r="O6" s="1"/>
  <c r="Q10"/>
  <c r="P98"/>
  <c r="P101" s="1"/>
  <c r="P83" i="867"/>
  <c r="P98" s="1"/>
  <c r="P101" s="1"/>
  <c r="L83"/>
  <c r="O83" s="1"/>
  <c r="Q10"/>
  <c r="O7"/>
  <c r="O98" s="1"/>
  <c r="L98"/>
  <c r="L18" i="866"/>
  <c r="O18" s="1"/>
  <c r="L69"/>
  <c r="O69" s="1"/>
  <c r="L82"/>
  <c r="O82" s="1"/>
  <c r="P53"/>
  <c r="L53"/>
  <c r="O53" s="1"/>
  <c r="P76"/>
  <c r="L76"/>
  <c r="O76" s="1"/>
  <c r="P88"/>
  <c r="L17"/>
  <c r="O17" s="1"/>
  <c r="L91"/>
  <c r="O91" s="1"/>
  <c r="P95"/>
  <c r="L96"/>
  <c r="O96" s="1"/>
  <c r="P13"/>
  <c r="L13"/>
  <c r="O13" s="1"/>
  <c r="P32"/>
  <c r="L32"/>
  <c r="O32" s="1"/>
  <c r="P61"/>
  <c r="L61"/>
  <c r="O61" s="1"/>
  <c r="P50"/>
  <c r="L50"/>
  <c r="O50" s="1"/>
  <c r="P56"/>
  <c r="L56"/>
  <c r="O56" s="1"/>
  <c r="P58"/>
  <c r="L58"/>
  <c r="O58" s="1"/>
  <c r="P22"/>
  <c r="L22"/>
  <c r="O22" s="1"/>
  <c r="P25"/>
  <c r="L25"/>
  <c r="O25" s="1"/>
  <c r="P41"/>
  <c r="L41"/>
  <c r="O41" s="1"/>
  <c r="P44"/>
  <c r="L44"/>
  <c r="O44" s="1"/>
  <c r="P47"/>
  <c r="L47"/>
  <c r="O47" s="1"/>
  <c r="P49"/>
  <c r="L49"/>
  <c r="O49" s="1"/>
  <c r="P73"/>
  <c r="L73"/>
  <c r="O73" s="1"/>
  <c r="P10"/>
  <c r="L10"/>
  <c r="O10" s="1"/>
  <c r="P14"/>
  <c r="L14"/>
  <c r="O14" s="1"/>
  <c r="P21"/>
  <c r="L21"/>
  <c r="O21" s="1"/>
  <c r="P24"/>
  <c r="L24"/>
  <c r="O24" s="1"/>
  <c r="P33"/>
  <c r="L33"/>
  <c r="O33" s="1"/>
  <c r="P36"/>
  <c r="L36"/>
  <c r="O36" s="1"/>
  <c r="P72"/>
  <c r="L72"/>
  <c r="O72" s="1"/>
  <c r="P90"/>
  <c r="L84"/>
  <c r="O84" s="1"/>
  <c r="L94"/>
  <c r="O94" s="1"/>
  <c r="L7"/>
  <c r="O7" s="1"/>
  <c r="L28"/>
  <c r="O28" s="1"/>
  <c r="L29"/>
  <c r="O29" s="1"/>
  <c r="L39"/>
  <c r="O39" s="1"/>
  <c r="L63"/>
  <c r="O63" s="1"/>
  <c r="L65"/>
  <c r="O65" s="1"/>
  <c r="L66"/>
  <c r="O66" s="1"/>
  <c r="L79"/>
  <c r="O79" s="1"/>
  <c r="L89"/>
  <c r="O89" s="1"/>
  <c r="L68"/>
  <c r="O68" s="1"/>
  <c r="P68"/>
  <c r="L81"/>
  <c r="O81" s="1"/>
  <c r="P81"/>
  <c r="L12"/>
  <c r="O12" s="1"/>
  <c r="P12"/>
  <c r="L20"/>
  <c r="O20" s="1"/>
  <c r="P20"/>
  <c r="L40"/>
  <c r="O40" s="1"/>
  <c r="P40"/>
  <c r="L43"/>
  <c r="O43" s="1"/>
  <c r="P43"/>
  <c r="L46"/>
  <c r="O46" s="1"/>
  <c r="P46"/>
  <c r="L55"/>
  <c r="O55" s="1"/>
  <c r="P55"/>
  <c r="L60"/>
  <c r="O60" s="1"/>
  <c r="P60"/>
  <c r="L71"/>
  <c r="O71" s="1"/>
  <c r="P71"/>
  <c r="J98"/>
  <c r="P6"/>
  <c r="L6"/>
  <c r="L27"/>
  <c r="O27" s="1"/>
  <c r="P27"/>
  <c r="L35"/>
  <c r="O35" s="1"/>
  <c r="P35"/>
  <c r="P83"/>
  <c r="L83"/>
  <c r="O83" s="1"/>
  <c r="L9"/>
  <c r="O9" s="1"/>
  <c r="P9"/>
  <c r="L23"/>
  <c r="O23" s="1"/>
  <c r="P23"/>
  <c r="L31"/>
  <c r="O31" s="1"/>
  <c r="P31"/>
  <c r="L16"/>
  <c r="O16" s="1"/>
  <c r="P16"/>
  <c r="L38"/>
  <c r="O38" s="1"/>
  <c r="P38"/>
  <c r="L75"/>
  <c r="O75" s="1"/>
  <c r="P75"/>
  <c r="L78"/>
  <c r="O78" s="1"/>
  <c r="P78"/>
  <c r="P11"/>
  <c r="P30"/>
  <c r="P42"/>
  <c r="P45"/>
  <c r="P48"/>
  <c r="P51"/>
  <c r="P54"/>
  <c r="P59"/>
  <c r="P70"/>
  <c r="P77"/>
  <c r="P80"/>
  <c r="P85"/>
  <c r="P87"/>
  <c r="P92"/>
  <c r="P97"/>
  <c r="G98"/>
  <c r="L8"/>
  <c r="O8" s="1"/>
  <c r="L15"/>
  <c r="O15" s="1"/>
  <c r="L19"/>
  <c r="O19" s="1"/>
  <c r="L26"/>
  <c r="O26" s="1"/>
  <c r="L34"/>
  <c r="O34" s="1"/>
  <c r="L37"/>
  <c r="O37" s="1"/>
  <c r="L57"/>
  <c r="O57" s="1"/>
  <c r="L62"/>
  <c r="O62" s="1"/>
  <c r="L64"/>
  <c r="O64" s="1"/>
  <c r="L67"/>
  <c r="O67" s="1"/>
  <c r="L74"/>
  <c r="O74" s="1"/>
  <c r="M98" i="865"/>
  <c r="K98"/>
  <c r="I98"/>
  <c r="H98"/>
  <c r="F98"/>
  <c r="E98"/>
  <c r="D98"/>
  <c r="J97"/>
  <c r="L97" s="1"/>
  <c r="O97" s="1"/>
  <c r="G97"/>
  <c r="L96"/>
  <c r="O96" s="1"/>
  <c r="J96"/>
  <c r="P96" s="1"/>
  <c r="G96"/>
  <c r="V95"/>
  <c r="L95"/>
  <c r="O95" s="1"/>
  <c r="J95"/>
  <c r="P95" s="1"/>
  <c r="G95"/>
  <c r="V94"/>
  <c r="L94"/>
  <c r="O94" s="1"/>
  <c r="J94"/>
  <c r="P94" s="1"/>
  <c r="G94"/>
  <c r="V93"/>
  <c r="J93"/>
  <c r="L93" s="1"/>
  <c r="O93" s="1"/>
  <c r="G93"/>
  <c r="J92"/>
  <c r="L92" s="1"/>
  <c r="O92" s="1"/>
  <c r="G92"/>
  <c r="J91"/>
  <c r="P91" s="1"/>
  <c r="G91"/>
  <c r="V90"/>
  <c r="J90"/>
  <c r="P90" s="1"/>
  <c r="G90"/>
  <c r="V89"/>
  <c r="J89"/>
  <c r="P89" s="1"/>
  <c r="G89"/>
  <c r="V88"/>
  <c r="J88"/>
  <c r="L88" s="1"/>
  <c r="O88" s="1"/>
  <c r="G88"/>
  <c r="J87"/>
  <c r="L87" s="1"/>
  <c r="O87" s="1"/>
  <c r="G87"/>
  <c r="V86"/>
  <c r="J86"/>
  <c r="P86" s="1"/>
  <c r="G86"/>
  <c r="V85"/>
  <c r="J85"/>
  <c r="L85" s="1"/>
  <c r="O85" s="1"/>
  <c r="G85"/>
  <c r="J84"/>
  <c r="P84" s="1"/>
  <c r="G84"/>
  <c r="G83"/>
  <c r="J83" s="1"/>
  <c r="R82"/>
  <c r="J82"/>
  <c r="L82" s="1"/>
  <c r="O82" s="1"/>
  <c r="G82"/>
  <c r="R81"/>
  <c r="L81"/>
  <c r="O81" s="1"/>
  <c r="J81"/>
  <c r="P81" s="1"/>
  <c r="G81"/>
  <c r="G80"/>
  <c r="J80" s="1"/>
  <c r="J79"/>
  <c r="L79" s="1"/>
  <c r="O79" s="1"/>
  <c r="G79"/>
  <c r="V78"/>
  <c r="J78"/>
  <c r="P78" s="1"/>
  <c r="G78"/>
  <c r="G77"/>
  <c r="J77" s="1"/>
  <c r="V76"/>
  <c r="J76"/>
  <c r="P76" s="1"/>
  <c r="G76"/>
  <c r="L75"/>
  <c r="O75" s="1"/>
  <c r="J75"/>
  <c r="P75" s="1"/>
  <c r="G75"/>
  <c r="G74"/>
  <c r="J74" s="1"/>
  <c r="J73"/>
  <c r="P73" s="1"/>
  <c r="G73"/>
  <c r="G72"/>
  <c r="J72" s="1"/>
  <c r="P72" s="1"/>
  <c r="J71"/>
  <c r="P71" s="1"/>
  <c r="G71"/>
  <c r="G70"/>
  <c r="J70" s="1"/>
  <c r="G69"/>
  <c r="J69" s="1"/>
  <c r="P69" s="1"/>
  <c r="V68"/>
  <c r="J68"/>
  <c r="P68" s="1"/>
  <c r="G68"/>
  <c r="G67"/>
  <c r="J67" s="1"/>
  <c r="G66"/>
  <c r="J66" s="1"/>
  <c r="P66" s="1"/>
  <c r="G65"/>
  <c r="J65" s="1"/>
  <c r="V64"/>
  <c r="G64"/>
  <c r="J64" s="1"/>
  <c r="V63"/>
  <c r="J63"/>
  <c r="P63" s="1"/>
  <c r="G63"/>
  <c r="R62"/>
  <c r="G62"/>
  <c r="J62" s="1"/>
  <c r="J61"/>
  <c r="L61" s="1"/>
  <c r="O61" s="1"/>
  <c r="G61"/>
  <c r="V60"/>
  <c r="J60"/>
  <c r="P60" s="1"/>
  <c r="G60"/>
  <c r="G59"/>
  <c r="J59" s="1"/>
  <c r="R58"/>
  <c r="J58"/>
  <c r="P58" s="1"/>
  <c r="G58"/>
  <c r="V57"/>
  <c r="G57"/>
  <c r="J57" s="1"/>
  <c r="V56"/>
  <c r="J56"/>
  <c r="P56" s="1"/>
  <c r="G56"/>
  <c r="J55"/>
  <c r="P55" s="1"/>
  <c r="G55"/>
  <c r="G54"/>
  <c r="J54" s="1"/>
  <c r="G53"/>
  <c r="J53" s="1"/>
  <c r="L53" s="1"/>
  <c r="O53" s="1"/>
  <c r="J52"/>
  <c r="P52" s="1"/>
  <c r="G52"/>
  <c r="V51"/>
  <c r="G51"/>
  <c r="J51" s="1"/>
  <c r="J50"/>
  <c r="L50" s="1"/>
  <c r="O50" s="1"/>
  <c r="G50"/>
  <c r="J49"/>
  <c r="P49" s="1"/>
  <c r="G49"/>
  <c r="V48"/>
  <c r="G48"/>
  <c r="J48" s="1"/>
  <c r="V47"/>
  <c r="G47"/>
  <c r="J47" s="1"/>
  <c r="G46"/>
  <c r="J46" s="1"/>
  <c r="G45"/>
  <c r="J45" s="1"/>
  <c r="R44"/>
  <c r="J44"/>
  <c r="P44" s="1"/>
  <c r="G44"/>
  <c r="G43"/>
  <c r="J43" s="1"/>
  <c r="P43" s="1"/>
  <c r="G42"/>
  <c r="J42" s="1"/>
  <c r="V41"/>
  <c r="J41"/>
  <c r="P41" s="1"/>
  <c r="G41"/>
  <c r="G40"/>
  <c r="J40" s="1"/>
  <c r="V39"/>
  <c r="J39"/>
  <c r="L39" s="1"/>
  <c r="O39" s="1"/>
  <c r="G39"/>
  <c r="V38"/>
  <c r="J38"/>
  <c r="P38" s="1"/>
  <c r="G38"/>
  <c r="G37"/>
  <c r="J37" s="1"/>
  <c r="J36"/>
  <c r="L36" s="1"/>
  <c r="O36" s="1"/>
  <c r="G36"/>
  <c r="V35"/>
  <c r="J35"/>
  <c r="P35" s="1"/>
  <c r="G35"/>
  <c r="G34"/>
  <c r="J34" s="1"/>
  <c r="J33"/>
  <c r="P33" s="1"/>
  <c r="G33"/>
  <c r="G32"/>
  <c r="J32" s="1"/>
  <c r="G31"/>
  <c r="J31" s="1"/>
  <c r="G30"/>
  <c r="J30" s="1"/>
  <c r="J29"/>
  <c r="P29" s="1"/>
  <c r="G29"/>
  <c r="J28"/>
  <c r="P28" s="1"/>
  <c r="G28"/>
  <c r="G27"/>
  <c r="J27" s="1"/>
  <c r="G26"/>
  <c r="J26" s="1"/>
  <c r="J25"/>
  <c r="L25" s="1"/>
  <c r="O25" s="1"/>
  <c r="G25"/>
  <c r="G24"/>
  <c r="J24" s="1"/>
  <c r="G23"/>
  <c r="J23" s="1"/>
  <c r="R22"/>
  <c r="G22"/>
  <c r="J22" s="1"/>
  <c r="P22" s="1"/>
  <c r="J21"/>
  <c r="P21" s="1"/>
  <c r="G21"/>
  <c r="J20"/>
  <c r="P20" s="1"/>
  <c r="G20"/>
  <c r="G19"/>
  <c r="J19" s="1"/>
  <c r="J18"/>
  <c r="P18" s="1"/>
  <c r="G18"/>
  <c r="G17"/>
  <c r="J17" s="1"/>
  <c r="G16"/>
  <c r="J16" s="1"/>
  <c r="G15"/>
  <c r="J15" s="1"/>
  <c r="J14"/>
  <c r="P14" s="1"/>
  <c r="G14"/>
  <c r="G13"/>
  <c r="J13" s="1"/>
  <c r="P13" s="1"/>
  <c r="G12"/>
  <c r="J12" s="1"/>
  <c r="G11"/>
  <c r="J11" s="1"/>
  <c r="G10"/>
  <c r="J10" s="1"/>
  <c r="J9"/>
  <c r="P9" s="1"/>
  <c r="G9"/>
  <c r="G8"/>
  <c r="J8" s="1"/>
  <c r="J7"/>
  <c r="P7" s="1"/>
  <c r="G7"/>
  <c r="G6"/>
  <c r="J6" s="1"/>
  <c r="L6" s="1"/>
  <c r="O6" s="1"/>
  <c r="M98" i="864"/>
  <c r="K98"/>
  <c r="I98"/>
  <c r="H98"/>
  <c r="F98"/>
  <c r="E98"/>
  <c r="D98"/>
  <c r="L97"/>
  <c r="O97" s="1"/>
  <c r="J97"/>
  <c r="P97" s="1"/>
  <c r="G97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L92"/>
  <c r="O92" s="1"/>
  <c r="J92"/>
  <c r="P92" s="1"/>
  <c r="G92"/>
  <c r="O91"/>
  <c r="L91"/>
  <c r="J91"/>
  <c r="P91" s="1"/>
  <c r="G91"/>
  <c r="V90"/>
  <c r="J90"/>
  <c r="L90" s="1"/>
  <c r="O90" s="1"/>
  <c r="G90"/>
  <c r="V89"/>
  <c r="O89"/>
  <c r="L89"/>
  <c r="J89"/>
  <c r="P89" s="1"/>
  <c r="G89"/>
  <c r="V88"/>
  <c r="J88"/>
  <c r="L88" s="1"/>
  <c r="O88" s="1"/>
  <c r="G88"/>
  <c r="J87"/>
  <c r="P87" s="1"/>
  <c r="G87"/>
  <c r="V86"/>
  <c r="J86"/>
  <c r="P86" s="1"/>
  <c r="G86"/>
  <c r="V85"/>
  <c r="J85"/>
  <c r="P85" s="1"/>
  <c r="G85"/>
  <c r="L84"/>
  <c r="O84" s="1"/>
  <c r="J84"/>
  <c r="P84" s="1"/>
  <c r="G84"/>
  <c r="G83"/>
  <c r="J83" s="1"/>
  <c r="R82"/>
  <c r="G82"/>
  <c r="J82" s="1"/>
  <c r="R81"/>
  <c r="G81"/>
  <c r="J81" s="1"/>
  <c r="G80"/>
  <c r="J80" s="1"/>
  <c r="L80" s="1"/>
  <c r="O80" s="1"/>
  <c r="G79"/>
  <c r="J79" s="1"/>
  <c r="V78"/>
  <c r="G78"/>
  <c r="J78" s="1"/>
  <c r="G77"/>
  <c r="J77" s="1"/>
  <c r="L77" s="1"/>
  <c r="O77" s="1"/>
  <c r="V76"/>
  <c r="G76"/>
  <c r="J76" s="1"/>
  <c r="G75"/>
  <c r="J75" s="1"/>
  <c r="G74"/>
  <c r="J74" s="1"/>
  <c r="L74" s="1"/>
  <c r="O74" s="1"/>
  <c r="G73"/>
  <c r="J73" s="1"/>
  <c r="J72"/>
  <c r="P72" s="1"/>
  <c r="G72"/>
  <c r="G71"/>
  <c r="J71" s="1"/>
  <c r="J70"/>
  <c r="L70" s="1"/>
  <c r="O70" s="1"/>
  <c r="G70"/>
  <c r="G69"/>
  <c r="J69" s="1"/>
  <c r="V68"/>
  <c r="G68"/>
  <c r="J68" s="1"/>
  <c r="G67"/>
  <c r="J67" s="1"/>
  <c r="L67" s="1"/>
  <c r="O67" s="1"/>
  <c r="G66"/>
  <c r="J66" s="1"/>
  <c r="G65"/>
  <c r="J65" s="1"/>
  <c r="V64"/>
  <c r="J64"/>
  <c r="L64" s="1"/>
  <c r="O64" s="1"/>
  <c r="G64"/>
  <c r="V63"/>
  <c r="G63"/>
  <c r="J63" s="1"/>
  <c r="R62"/>
  <c r="G62"/>
  <c r="J62" s="1"/>
  <c r="L62" s="1"/>
  <c r="O62" s="1"/>
  <c r="J61"/>
  <c r="P61" s="1"/>
  <c r="G61"/>
  <c r="V60"/>
  <c r="G60"/>
  <c r="J60" s="1"/>
  <c r="J59"/>
  <c r="L59" s="1"/>
  <c r="O59" s="1"/>
  <c r="G59"/>
  <c r="R58"/>
  <c r="J58"/>
  <c r="P58" s="1"/>
  <c r="G58"/>
  <c r="V57"/>
  <c r="G57"/>
  <c r="J57" s="1"/>
  <c r="L57" s="1"/>
  <c r="O57" s="1"/>
  <c r="V56"/>
  <c r="G56"/>
  <c r="J56" s="1"/>
  <c r="G55"/>
  <c r="J55" s="1"/>
  <c r="G54"/>
  <c r="J54" s="1"/>
  <c r="L54" s="1"/>
  <c r="O54" s="1"/>
  <c r="G53"/>
  <c r="J53" s="1"/>
  <c r="G52"/>
  <c r="J52" s="1"/>
  <c r="V51"/>
  <c r="G51"/>
  <c r="J51" s="1"/>
  <c r="L51" s="1"/>
  <c r="O51" s="1"/>
  <c r="L50"/>
  <c r="O50" s="1"/>
  <c r="J50"/>
  <c r="P50" s="1"/>
  <c r="G50"/>
  <c r="J49"/>
  <c r="P49" s="1"/>
  <c r="G49"/>
  <c r="V48"/>
  <c r="G48"/>
  <c r="J48" s="1"/>
  <c r="L48" s="1"/>
  <c r="O48" s="1"/>
  <c r="V47"/>
  <c r="G47"/>
  <c r="J47" s="1"/>
  <c r="G46"/>
  <c r="J46" s="1"/>
  <c r="G45"/>
  <c r="J45" s="1"/>
  <c r="L45" s="1"/>
  <c r="O45" s="1"/>
  <c r="R44"/>
  <c r="G44"/>
  <c r="J44" s="1"/>
  <c r="G43"/>
  <c r="J43" s="1"/>
  <c r="J42"/>
  <c r="L42" s="1"/>
  <c r="O42" s="1"/>
  <c r="G42"/>
  <c r="V41"/>
  <c r="J41"/>
  <c r="P41" s="1"/>
  <c r="G41"/>
  <c r="G40"/>
  <c r="J40" s="1"/>
  <c r="V39"/>
  <c r="G39"/>
  <c r="J39" s="1"/>
  <c r="V38"/>
  <c r="G38"/>
  <c r="J38" s="1"/>
  <c r="G37"/>
  <c r="J37" s="1"/>
  <c r="L37" s="1"/>
  <c r="O37" s="1"/>
  <c r="G36"/>
  <c r="J36" s="1"/>
  <c r="V35"/>
  <c r="G35"/>
  <c r="J35" s="1"/>
  <c r="G34"/>
  <c r="J34" s="1"/>
  <c r="L34" s="1"/>
  <c r="O34" s="1"/>
  <c r="J33"/>
  <c r="P33" s="1"/>
  <c r="G33"/>
  <c r="G32"/>
  <c r="J32" s="1"/>
  <c r="P32" s="1"/>
  <c r="G31"/>
  <c r="J31" s="1"/>
  <c r="G30"/>
  <c r="J30" s="1"/>
  <c r="L30" s="1"/>
  <c r="O30" s="1"/>
  <c r="G29"/>
  <c r="J29" s="1"/>
  <c r="G28"/>
  <c r="J28" s="1"/>
  <c r="G27"/>
  <c r="J27" s="1"/>
  <c r="J26"/>
  <c r="L26" s="1"/>
  <c r="O26" s="1"/>
  <c r="G26"/>
  <c r="G25"/>
  <c r="J25" s="1"/>
  <c r="P25" s="1"/>
  <c r="J24"/>
  <c r="P24" s="1"/>
  <c r="G24"/>
  <c r="G23"/>
  <c r="J23" s="1"/>
  <c r="R22"/>
  <c r="G22"/>
  <c r="J22" s="1"/>
  <c r="J21"/>
  <c r="P21" s="1"/>
  <c r="G21"/>
  <c r="G20"/>
  <c r="J20" s="1"/>
  <c r="J19"/>
  <c r="L19" s="1"/>
  <c r="O19" s="1"/>
  <c r="G19"/>
  <c r="G18"/>
  <c r="J18" s="1"/>
  <c r="G17"/>
  <c r="J17" s="1"/>
  <c r="G16"/>
  <c r="J16" s="1"/>
  <c r="G15"/>
  <c r="J15" s="1"/>
  <c r="L15" s="1"/>
  <c r="O15" s="1"/>
  <c r="G14"/>
  <c r="J14" s="1"/>
  <c r="G13"/>
  <c r="J13" s="1"/>
  <c r="P13" s="1"/>
  <c r="G12"/>
  <c r="J12" s="1"/>
  <c r="G11"/>
  <c r="J11" s="1"/>
  <c r="L11" s="1"/>
  <c r="O11" s="1"/>
  <c r="G10"/>
  <c r="J10" s="1"/>
  <c r="G9"/>
  <c r="J9" s="1"/>
  <c r="G8"/>
  <c r="J8" s="1"/>
  <c r="L8" s="1"/>
  <c r="O8" s="1"/>
  <c r="G7"/>
  <c r="J7" s="1"/>
  <c r="P7" s="1"/>
  <c r="G6"/>
  <c r="J6" s="1"/>
  <c r="L98" i="871" l="1"/>
  <c r="O6"/>
  <c r="J98" i="870"/>
  <c r="P6"/>
  <c r="P98" s="1"/>
  <c r="P101" s="1"/>
  <c r="L6"/>
  <c r="O6" i="869"/>
  <c r="L98"/>
  <c r="L98" i="868"/>
  <c r="O98"/>
  <c r="Q98" s="1"/>
  <c r="Q6"/>
  <c r="Q98" i="867"/>
  <c r="Q10" i="866"/>
  <c r="L98"/>
  <c r="O6"/>
  <c r="P98"/>
  <c r="P101" s="1"/>
  <c r="L76" i="865"/>
  <c r="O76" s="1"/>
  <c r="P93"/>
  <c r="L9"/>
  <c r="O9" s="1"/>
  <c r="L20"/>
  <c r="O20" s="1"/>
  <c r="L35"/>
  <c r="O35" s="1"/>
  <c r="L21"/>
  <c r="O21" s="1"/>
  <c r="L38"/>
  <c r="O38" s="1"/>
  <c r="L52"/>
  <c r="O52" s="1"/>
  <c r="L58"/>
  <c r="O58" s="1"/>
  <c r="L78"/>
  <c r="O78" s="1"/>
  <c r="L86"/>
  <c r="O86" s="1"/>
  <c r="P40"/>
  <c r="L40"/>
  <c r="O40" s="1"/>
  <c r="P12"/>
  <c r="L12"/>
  <c r="O12" s="1"/>
  <c r="P65"/>
  <c r="L65"/>
  <c r="O65" s="1"/>
  <c r="P10"/>
  <c r="L10"/>
  <c r="O10" s="1"/>
  <c r="P27"/>
  <c r="L27"/>
  <c r="O27" s="1"/>
  <c r="P83"/>
  <c r="L83"/>
  <c r="O83" s="1"/>
  <c r="L13"/>
  <c r="O13" s="1"/>
  <c r="L28"/>
  <c r="O28" s="1"/>
  <c r="L41"/>
  <c r="O41" s="1"/>
  <c r="L49"/>
  <c r="O49" s="1"/>
  <c r="L60"/>
  <c r="O60" s="1"/>
  <c r="L84"/>
  <c r="O84" s="1"/>
  <c r="L89"/>
  <c r="O89" s="1"/>
  <c r="L90"/>
  <c r="O90" s="1"/>
  <c r="P16"/>
  <c r="L16"/>
  <c r="O16" s="1"/>
  <c r="P31"/>
  <c r="L31"/>
  <c r="O31" s="1"/>
  <c r="P24"/>
  <c r="L24"/>
  <c r="O24" s="1"/>
  <c r="P23"/>
  <c r="L23"/>
  <c r="O23" s="1"/>
  <c r="P47"/>
  <c r="L47"/>
  <c r="O47" s="1"/>
  <c r="P17"/>
  <c r="L17"/>
  <c r="O17" s="1"/>
  <c r="P32"/>
  <c r="L32"/>
  <c r="O32" s="1"/>
  <c r="P46"/>
  <c r="L46"/>
  <c r="O46" s="1"/>
  <c r="G98"/>
  <c r="P88"/>
  <c r="L43"/>
  <c r="O43" s="1"/>
  <c r="L44"/>
  <c r="O44" s="1"/>
  <c r="L55"/>
  <c r="O55" s="1"/>
  <c r="L56"/>
  <c r="O56" s="1"/>
  <c r="L63"/>
  <c r="O63" s="1"/>
  <c r="L68"/>
  <c r="O68" s="1"/>
  <c r="L71"/>
  <c r="O71" s="1"/>
  <c r="L72"/>
  <c r="O72" s="1"/>
  <c r="L91"/>
  <c r="O91" s="1"/>
  <c r="L54"/>
  <c r="O54" s="1"/>
  <c r="P54"/>
  <c r="L70"/>
  <c r="O70" s="1"/>
  <c r="P70"/>
  <c r="L8"/>
  <c r="O8" s="1"/>
  <c r="P8"/>
  <c r="P11"/>
  <c r="L11"/>
  <c r="O11" s="1"/>
  <c r="L19"/>
  <c r="O19" s="1"/>
  <c r="P19"/>
  <c r="L26"/>
  <c r="O26" s="1"/>
  <c r="P26"/>
  <c r="L34"/>
  <c r="O34" s="1"/>
  <c r="P34"/>
  <c r="L59"/>
  <c r="O59" s="1"/>
  <c r="P59"/>
  <c r="L62"/>
  <c r="O62" s="1"/>
  <c r="P62"/>
  <c r="L77"/>
  <c r="O77" s="1"/>
  <c r="P77"/>
  <c r="L80"/>
  <c r="O80" s="1"/>
  <c r="P80"/>
  <c r="L48"/>
  <c r="O48" s="1"/>
  <c r="P48"/>
  <c r="L74"/>
  <c r="O74" s="1"/>
  <c r="P74"/>
  <c r="P15"/>
  <c r="L15"/>
  <c r="O15" s="1"/>
  <c r="L30"/>
  <c r="O30" s="1"/>
  <c r="P30"/>
  <c r="L45"/>
  <c r="O45" s="1"/>
  <c r="P45"/>
  <c r="L51"/>
  <c r="O51" s="1"/>
  <c r="P51"/>
  <c r="L57"/>
  <c r="O57" s="1"/>
  <c r="P57"/>
  <c r="L64"/>
  <c r="O64" s="1"/>
  <c r="P64"/>
  <c r="J98"/>
  <c r="L42"/>
  <c r="O42" s="1"/>
  <c r="P42"/>
  <c r="L67"/>
  <c r="O67" s="1"/>
  <c r="P67"/>
  <c r="L37"/>
  <c r="O37" s="1"/>
  <c r="P37"/>
  <c r="P25"/>
  <c r="P36"/>
  <c r="P39"/>
  <c r="P50"/>
  <c r="P53"/>
  <c r="P61"/>
  <c r="P79"/>
  <c r="P82"/>
  <c r="P85"/>
  <c r="P87"/>
  <c r="P92"/>
  <c r="P97"/>
  <c r="P6"/>
  <c r="L7"/>
  <c r="L14"/>
  <c r="O14" s="1"/>
  <c r="L18"/>
  <c r="O18" s="1"/>
  <c r="L22"/>
  <c r="O22" s="1"/>
  <c r="L29"/>
  <c r="O29" s="1"/>
  <c r="L33"/>
  <c r="O33" s="1"/>
  <c r="L66"/>
  <c r="O66" s="1"/>
  <c r="L69"/>
  <c r="O69" s="1"/>
  <c r="L73"/>
  <c r="O73" s="1"/>
  <c r="L41" i="864"/>
  <c r="O41" s="1"/>
  <c r="L85"/>
  <c r="O85" s="1"/>
  <c r="L86"/>
  <c r="O86" s="1"/>
  <c r="L21"/>
  <c r="O21" s="1"/>
  <c r="L72"/>
  <c r="O72" s="1"/>
  <c r="P14"/>
  <c r="L14"/>
  <c r="O14" s="1"/>
  <c r="P44"/>
  <c r="L44"/>
  <c r="O44" s="1"/>
  <c r="P47"/>
  <c r="L47"/>
  <c r="O47" s="1"/>
  <c r="P56"/>
  <c r="L56"/>
  <c r="O56" s="1"/>
  <c r="P73"/>
  <c r="L73"/>
  <c r="O73" s="1"/>
  <c r="P36"/>
  <c r="L36"/>
  <c r="O36" s="1"/>
  <c r="P22"/>
  <c r="L22"/>
  <c r="O22" s="1"/>
  <c r="L49"/>
  <c r="O49" s="1"/>
  <c r="L58"/>
  <c r="O58" s="1"/>
  <c r="P53"/>
  <c r="L53"/>
  <c r="O53" s="1"/>
  <c r="P63"/>
  <c r="L63"/>
  <c r="O63" s="1"/>
  <c r="P39"/>
  <c r="L39"/>
  <c r="O39" s="1"/>
  <c r="P52"/>
  <c r="L52"/>
  <c r="O52" s="1"/>
  <c r="P79"/>
  <c r="L79"/>
  <c r="O79" s="1"/>
  <c r="P82"/>
  <c r="L82"/>
  <c r="O82" s="1"/>
  <c r="P18"/>
  <c r="L18"/>
  <c r="O18" s="1"/>
  <c r="P29"/>
  <c r="L29"/>
  <c r="O29" s="1"/>
  <c r="P66"/>
  <c r="L66"/>
  <c r="O66" s="1"/>
  <c r="P69"/>
  <c r="L69"/>
  <c r="O69" s="1"/>
  <c r="P76"/>
  <c r="L76"/>
  <c r="O76" s="1"/>
  <c r="P10"/>
  <c r="L10"/>
  <c r="O10" s="1"/>
  <c r="P17"/>
  <c r="L17"/>
  <c r="O17" s="1"/>
  <c r="P28"/>
  <c r="L28"/>
  <c r="O28" s="1"/>
  <c r="P65"/>
  <c r="L65"/>
  <c r="O65" s="1"/>
  <c r="L7"/>
  <c r="O7" s="1"/>
  <c r="L24"/>
  <c r="O24" s="1"/>
  <c r="L25"/>
  <c r="O25" s="1"/>
  <c r="L32"/>
  <c r="O32" s="1"/>
  <c r="L33"/>
  <c r="O33" s="1"/>
  <c r="L61"/>
  <c r="O61" s="1"/>
  <c r="L87"/>
  <c r="O87" s="1"/>
  <c r="L94"/>
  <c r="O94" s="1"/>
  <c r="L96"/>
  <c r="O96" s="1"/>
  <c r="L12"/>
  <c r="O12" s="1"/>
  <c r="P12"/>
  <c r="L16"/>
  <c r="O16" s="1"/>
  <c r="P16"/>
  <c r="P75"/>
  <c r="L75"/>
  <c r="O75" s="1"/>
  <c r="P31"/>
  <c r="L31"/>
  <c r="O31" s="1"/>
  <c r="L68"/>
  <c r="O68" s="1"/>
  <c r="P68"/>
  <c r="P81"/>
  <c r="L81"/>
  <c r="O81" s="1"/>
  <c r="P20"/>
  <c r="L20"/>
  <c r="O20" s="1"/>
  <c r="P40"/>
  <c r="L40"/>
  <c r="O40" s="1"/>
  <c r="L43"/>
  <c r="O43" s="1"/>
  <c r="P43"/>
  <c r="P46"/>
  <c r="L46"/>
  <c r="O46" s="1"/>
  <c r="P55"/>
  <c r="L55"/>
  <c r="O55" s="1"/>
  <c r="L60"/>
  <c r="O60" s="1"/>
  <c r="P60"/>
  <c r="L71"/>
  <c r="O71" s="1"/>
  <c r="P71"/>
  <c r="L9"/>
  <c r="O9" s="1"/>
  <c r="P9"/>
  <c r="L27"/>
  <c r="O27" s="1"/>
  <c r="P27"/>
  <c r="P35"/>
  <c r="L35"/>
  <c r="O35" s="1"/>
  <c r="P83"/>
  <c r="L83"/>
  <c r="O83" s="1"/>
  <c r="Q10"/>
  <c r="P38"/>
  <c r="L38"/>
  <c r="O38" s="1"/>
  <c r="P78"/>
  <c r="L78"/>
  <c r="O78" s="1"/>
  <c r="J98"/>
  <c r="L6"/>
  <c r="P6"/>
  <c r="P23"/>
  <c r="L23"/>
  <c r="O23" s="1"/>
  <c r="P8"/>
  <c r="G98"/>
  <c r="P11"/>
  <c r="L13"/>
  <c r="O13" s="1"/>
  <c r="P15"/>
  <c r="P19"/>
  <c r="P26"/>
  <c r="P30"/>
  <c r="P34"/>
  <c r="P37"/>
  <c r="P42"/>
  <c r="P45"/>
  <c r="P48"/>
  <c r="P51"/>
  <c r="P54"/>
  <c r="P57"/>
  <c r="P59"/>
  <c r="P62"/>
  <c r="P64"/>
  <c r="P67"/>
  <c r="P70"/>
  <c r="P74"/>
  <c r="P77"/>
  <c r="P80"/>
  <c r="P88"/>
  <c r="P90"/>
  <c r="P93"/>
  <c r="P95"/>
  <c r="E6" i="863"/>
  <c r="M98"/>
  <c r="K98"/>
  <c r="I98"/>
  <c r="H98"/>
  <c r="D98"/>
  <c r="J97"/>
  <c r="L97" s="1"/>
  <c r="O97" s="1"/>
  <c r="G97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J92"/>
  <c r="P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J87"/>
  <c r="L87" s="1"/>
  <c r="O87" s="1"/>
  <c r="G87"/>
  <c r="V86"/>
  <c r="J86"/>
  <c r="L86" s="1"/>
  <c r="O86" s="1"/>
  <c r="G86"/>
  <c r="V85"/>
  <c r="J85"/>
  <c r="P85" s="1"/>
  <c r="G85"/>
  <c r="J84"/>
  <c r="P84" s="1"/>
  <c r="G84"/>
  <c r="G83"/>
  <c r="J83" s="1"/>
  <c r="R82"/>
  <c r="J82"/>
  <c r="P82" s="1"/>
  <c r="G82"/>
  <c r="R81"/>
  <c r="G81"/>
  <c r="J81" s="1"/>
  <c r="G80"/>
  <c r="J80" s="1"/>
  <c r="G79"/>
  <c r="J79" s="1"/>
  <c r="L79" s="1"/>
  <c r="O79" s="1"/>
  <c r="V78"/>
  <c r="G78"/>
  <c r="J78" s="1"/>
  <c r="G77"/>
  <c r="J77" s="1"/>
  <c r="V76"/>
  <c r="G76"/>
  <c r="J76" s="1"/>
  <c r="G75"/>
  <c r="J75" s="1"/>
  <c r="G74"/>
  <c r="J74" s="1"/>
  <c r="G73"/>
  <c r="J73" s="1"/>
  <c r="L73" s="1"/>
  <c r="O73" s="1"/>
  <c r="G72"/>
  <c r="J72" s="1"/>
  <c r="G71"/>
  <c r="J71" s="1"/>
  <c r="G70"/>
  <c r="J70" s="1"/>
  <c r="G69"/>
  <c r="J69" s="1"/>
  <c r="P69" s="1"/>
  <c r="V68"/>
  <c r="G68"/>
  <c r="J68" s="1"/>
  <c r="G67"/>
  <c r="J67" s="1"/>
  <c r="G66"/>
  <c r="J66" s="1"/>
  <c r="L66" s="1"/>
  <c r="O66" s="1"/>
  <c r="G65"/>
  <c r="J65" s="1"/>
  <c r="V64"/>
  <c r="G64"/>
  <c r="J64" s="1"/>
  <c r="V63"/>
  <c r="G63"/>
  <c r="J63" s="1"/>
  <c r="R62"/>
  <c r="G62"/>
  <c r="J62" s="1"/>
  <c r="G61"/>
  <c r="J61" s="1"/>
  <c r="P61" s="1"/>
  <c r="V60"/>
  <c r="G60"/>
  <c r="J60" s="1"/>
  <c r="G59"/>
  <c r="J59" s="1"/>
  <c r="R58"/>
  <c r="J58"/>
  <c r="P58" s="1"/>
  <c r="G58"/>
  <c r="V57"/>
  <c r="G57"/>
  <c r="J57" s="1"/>
  <c r="V56"/>
  <c r="J56"/>
  <c r="P56" s="1"/>
  <c r="G56"/>
  <c r="G55"/>
  <c r="J55" s="1"/>
  <c r="G54"/>
  <c r="J54" s="1"/>
  <c r="J53"/>
  <c r="P53" s="1"/>
  <c r="G53"/>
  <c r="G52"/>
  <c r="J52" s="1"/>
  <c r="V51"/>
  <c r="G51"/>
  <c r="J51" s="1"/>
  <c r="G50"/>
  <c r="J50" s="1"/>
  <c r="P50" s="1"/>
  <c r="J49"/>
  <c r="P49" s="1"/>
  <c r="G49"/>
  <c r="V48"/>
  <c r="G48"/>
  <c r="J48" s="1"/>
  <c r="V47"/>
  <c r="J47"/>
  <c r="P47" s="1"/>
  <c r="G47"/>
  <c r="G46"/>
  <c r="J46" s="1"/>
  <c r="P46" s="1"/>
  <c r="G45"/>
  <c r="J45" s="1"/>
  <c r="R44"/>
  <c r="J44"/>
  <c r="P44" s="1"/>
  <c r="G44"/>
  <c r="G43"/>
  <c r="J43" s="1"/>
  <c r="G42"/>
  <c r="J42" s="1"/>
  <c r="V41"/>
  <c r="J41"/>
  <c r="P41" s="1"/>
  <c r="G41"/>
  <c r="J40"/>
  <c r="P40" s="1"/>
  <c r="G40"/>
  <c r="V39"/>
  <c r="G39"/>
  <c r="J39" s="1"/>
  <c r="L39" s="1"/>
  <c r="O39" s="1"/>
  <c r="V38"/>
  <c r="J38"/>
  <c r="P38" s="1"/>
  <c r="G38"/>
  <c r="G37"/>
  <c r="J37" s="1"/>
  <c r="G36"/>
  <c r="J36" s="1"/>
  <c r="P36" s="1"/>
  <c r="V35"/>
  <c r="J35"/>
  <c r="P35" s="1"/>
  <c r="G35"/>
  <c r="G34"/>
  <c r="J34" s="1"/>
  <c r="G33"/>
  <c r="J33" s="1"/>
  <c r="P33" s="1"/>
  <c r="J32"/>
  <c r="P32" s="1"/>
  <c r="G32"/>
  <c r="G31"/>
  <c r="J31" s="1"/>
  <c r="P31" s="1"/>
  <c r="G30"/>
  <c r="J30" s="1"/>
  <c r="G29"/>
  <c r="J29" s="1"/>
  <c r="P29" s="1"/>
  <c r="J28"/>
  <c r="P28" s="1"/>
  <c r="G28"/>
  <c r="J27"/>
  <c r="P27" s="1"/>
  <c r="G27"/>
  <c r="G26"/>
  <c r="J26" s="1"/>
  <c r="G25"/>
  <c r="J25" s="1"/>
  <c r="L25" s="1"/>
  <c r="O25" s="1"/>
  <c r="J24"/>
  <c r="P24" s="1"/>
  <c r="G24"/>
  <c r="G23"/>
  <c r="J23" s="1"/>
  <c r="P23" s="1"/>
  <c r="R22"/>
  <c r="G22"/>
  <c r="J22" s="1"/>
  <c r="L22" s="1"/>
  <c r="O22" s="1"/>
  <c r="J21"/>
  <c r="P21" s="1"/>
  <c r="G21"/>
  <c r="J20"/>
  <c r="P20" s="1"/>
  <c r="G20"/>
  <c r="G19"/>
  <c r="J19" s="1"/>
  <c r="G18"/>
  <c r="J18" s="1"/>
  <c r="P18" s="1"/>
  <c r="J17"/>
  <c r="P17" s="1"/>
  <c r="G17"/>
  <c r="G16"/>
  <c r="J16" s="1"/>
  <c r="P16" s="1"/>
  <c r="G15"/>
  <c r="J15" s="1"/>
  <c r="G14"/>
  <c r="J14" s="1"/>
  <c r="L14" s="1"/>
  <c r="O14" s="1"/>
  <c r="J13"/>
  <c r="P13" s="1"/>
  <c r="G13"/>
  <c r="J12"/>
  <c r="P12" s="1"/>
  <c r="G12"/>
  <c r="G11"/>
  <c r="J11" s="1"/>
  <c r="J10"/>
  <c r="P10" s="1"/>
  <c r="G10"/>
  <c r="J9"/>
  <c r="P9" s="1"/>
  <c r="G9"/>
  <c r="G8"/>
  <c r="J8" s="1"/>
  <c r="G7"/>
  <c r="J7" s="1"/>
  <c r="L7" s="1"/>
  <c r="O7" s="1"/>
  <c r="F98"/>
  <c r="E98"/>
  <c r="F6" i="862"/>
  <c r="E6"/>
  <c r="E98" s="1"/>
  <c r="M98"/>
  <c r="K98"/>
  <c r="I98"/>
  <c r="H98"/>
  <c r="F98"/>
  <c r="D98"/>
  <c r="L97"/>
  <c r="O97" s="1"/>
  <c r="J97"/>
  <c r="P97" s="1"/>
  <c r="G97"/>
  <c r="J96"/>
  <c r="P96" s="1"/>
  <c r="G96"/>
  <c r="V95"/>
  <c r="J95"/>
  <c r="L95" s="1"/>
  <c r="O95" s="1"/>
  <c r="G95"/>
  <c r="V94"/>
  <c r="L94"/>
  <c r="O94" s="1"/>
  <c r="J94"/>
  <c r="P94" s="1"/>
  <c r="G94"/>
  <c r="V93"/>
  <c r="J93"/>
  <c r="L93" s="1"/>
  <c r="O93" s="1"/>
  <c r="G93"/>
  <c r="L92"/>
  <c r="O92" s="1"/>
  <c r="J92"/>
  <c r="P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L87"/>
  <c r="O87" s="1"/>
  <c r="J87"/>
  <c r="P87" s="1"/>
  <c r="G87"/>
  <c r="V86"/>
  <c r="P86"/>
  <c r="J86"/>
  <c r="L86" s="1"/>
  <c r="O86" s="1"/>
  <c r="G86"/>
  <c r="V85"/>
  <c r="L85"/>
  <c r="O85" s="1"/>
  <c r="J85"/>
  <c r="P85" s="1"/>
  <c r="G85"/>
  <c r="J84"/>
  <c r="P84" s="1"/>
  <c r="G84"/>
  <c r="G83"/>
  <c r="J83" s="1"/>
  <c r="R82"/>
  <c r="L82"/>
  <c r="O82" s="1"/>
  <c r="J82"/>
  <c r="P82" s="1"/>
  <c r="G82"/>
  <c r="R81"/>
  <c r="G81"/>
  <c r="J81" s="1"/>
  <c r="J80"/>
  <c r="L80" s="1"/>
  <c r="O80" s="1"/>
  <c r="G80"/>
  <c r="J79"/>
  <c r="P79" s="1"/>
  <c r="G79"/>
  <c r="V78"/>
  <c r="G78"/>
  <c r="J78" s="1"/>
  <c r="J77"/>
  <c r="L77" s="1"/>
  <c r="O77" s="1"/>
  <c r="G77"/>
  <c r="V76"/>
  <c r="G76"/>
  <c r="J76" s="1"/>
  <c r="G75"/>
  <c r="J75" s="1"/>
  <c r="J74"/>
  <c r="L74" s="1"/>
  <c r="O74" s="1"/>
  <c r="G74"/>
  <c r="J73"/>
  <c r="P73" s="1"/>
  <c r="G73"/>
  <c r="G72"/>
  <c r="J72" s="1"/>
  <c r="G71"/>
  <c r="J71" s="1"/>
  <c r="J70"/>
  <c r="L70" s="1"/>
  <c r="O70" s="1"/>
  <c r="G70"/>
  <c r="G69"/>
  <c r="J69" s="1"/>
  <c r="V68"/>
  <c r="G68"/>
  <c r="J68" s="1"/>
  <c r="G67"/>
  <c r="J67" s="1"/>
  <c r="L67" s="1"/>
  <c r="O67" s="1"/>
  <c r="L66"/>
  <c r="O66" s="1"/>
  <c r="J66"/>
  <c r="P66" s="1"/>
  <c r="G66"/>
  <c r="G65"/>
  <c r="J65" s="1"/>
  <c r="V64"/>
  <c r="J64"/>
  <c r="L64" s="1"/>
  <c r="O64" s="1"/>
  <c r="G64"/>
  <c r="V63"/>
  <c r="G63"/>
  <c r="J63" s="1"/>
  <c r="R62"/>
  <c r="G62"/>
  <c r="J62" s="1"/>
  <c r="L62" s="1"/>
  <c r="O62" s="1"/>
  <c r="J61"/>
  <c r="P61" s="1"/>
  <c r="G61"/>
  <c r="V60"/>
  <c r="G60"/>
  <c r="J60" s="1"/>
  <c r="J59"/>
  <c r="L59" s="1"/>
  <c r="O59" s="1"/>
  <c r="G59"/>
  <c r="R58"/>
  <c r="G58"/>
  <c r="J58" s="1"/>
  <c r="V57"/>
  <c r="G57"/>
  <c r="J57" s="1"/>
  <c r="L57" s="1"/>
  <c r="O57" s="1"/>
  <c r="V56"/>
  <c r="G56"/>
  <c r="J56" s="1"/>
  <c r="G55"/>
  <c r="J55" s="1"/>
  <c r="J54"/>
  <c r="L54" s="1"/>
  <c r="O54" s="1"/>
  <c r="G54"/>
  <c r="G53"/>
  <c r="J53" s="1"/>
  <c r="G52"/>
  <c r="J52" s="1"/>
  <c r="V51"/>
  <c r="G51"/>
  <c r="J51" s="1"/>
  <c r="L51" s="1"/>
  <c r="O51" s="1"/>
  <c r="J50"/>
  <c r="P50" s="1"/>
  <c r="G50"/>
  <c r="G49"/>
  <c r="J49" s="1"/>
  <c r="V48"/>
  <c r="J48"/>
  <c r="L48" s="1"/>
  <c r="O48" s="1"/>
  <c r="G48"/>
  <c r="V47"/>
  <c r="G47"/>
  <c r="J47" s="1"/>
  <c r="G46"/>
  <c r="J46" s="1"/>
  <c r="G45"/>
  <c r="J45" s="1"/>
  <c r="L45" s="1"/>
  <c r="O45" s="1"/>
  <c r="R44"/>
  <c r="G44"/>
  <c r="J44" s="1"/>
  <c r="G43"/>
  <c r="J43" s="1"/>
  <c r="J42"/>
  <c r="L42" s="1"/>
  <c r="O42" s="1"/>
  <c r="G42"/>
  <c r="V41"/>
  <c r="G41"/>
  <c r="J41" s="1"/>
  <c r="G40"/>
  <c r="J40" s="1"/>
  <c r="V39"/>
  <c r="G39"/>
  <c r="J39" s="1"/>
  <c r="V38"/>
  <c r="G38"/>
  <c r="J38" s="1"/>
  <c r="G37"/>
  <c r="J37" s="1"/>
  <c r="L37" s="1"/>
  <c r="O37" s="1"/>
  <c r="J36"/>
  <c r="P36" s="1"/>
  <c r="G36"/>
  <c r="V35"/>
  <c r="G35"/>
  <c r="J35" s="1"/>
  <c r="J34"/>
  <c r="L34" s="1"/>
  <c r="O34" s="1"/>
  <c r="G34"/>
  <c r="J33"/>
  <c r="P33" s="1"/>
  <c r="G33"/>
  <c r="G32"/>
  <c r="J32" s="1"/>
  <c r="G31"/>
  <c r="J31" s="1"/>
  <c r="J30"/>
  <c r="L30" s="1"/>
  <c r="O30" s="1"/>
  <c r="G30"/>
  <c r="J29"/>
  <c r="P29" s="1"/>
  <c r="G29"/>
  <c r="G28"/>
  <c r="J28" s="1"/>
  <c r="G27"/>
  <c r="J27" s="1"/>
  <c r="J26"/>
  <c r="L26" s="1"/>
  <c r="O26" s="1"/>
  <c r="G26"/>
  <c r="G25"/>
  <c r="J25" s="1"/>
  <c r="G24"/>
  <c r="J24" s="1"/>
  <c r="G23"/>
  <c r="J23" s="1"/>
  <c r="R22"/>
  <c r="J22"/>
  <c r="P22" s="1"/>
  <c r="G22"/>
  <c r="G21"/>
  <c r="J21" s="1"/>
  <c r="G20"/>
  <c r="J20" s="1"/>
  <c r="J19"/>
  <c r="L19" s="1"/>
  <c r="O19" s="1"/>
  <c r="G19"/>
  <c r="J18"/>
  <c r="P18" s="1"/>
  <c r="G18"/>
  <c r="G17"/>
  <c r="J17" s="1"/>
  <c r="G16"/>
  <c r="J16" s="1"/>
  <c r="J15"/>
  <c r="L15" s="1"/>
  <c r="O15" s="1"/>
  <c r="G15"/>
  <c r="G14"/>
  <c r="J14" s="1"/>
  <c r="G13"/>
  <c r="J13" s="1"/>
  <c r="G12"/>
  <c r="J12" s="1"/>
  <c r="G11"/>
  <c r="J11" s="1"/>
  <c r="L11" s="1"/>
  <c r="O11" s="1"/>
  <c r="G10"/>
  <c r="J10" s="1"/>
  <c r="G9"/>
  <c r="J9" s="1"/>
  <c r="G8"/>
  <c r="J8" s="1"/>
  <c r="L8" s="1"/>
  <c r="O8" s="1"/>
  <c r="J7"/>
  <c r="P7" s="1"/>
  <c r="G7"/>
  <c r="G6"/>
  <c r="J6" s="1"/>
  <c r="M98" i="861"/>
  <c r="K98"/>
  <c r="I98"/>
  <c r="H98"/>
  <c r="F98"/>
  <c r="E98"/>
  <c r="D98"/>
  <c r="J97"/>
  <c r="P97" s="1"/>
  <c r="G97"/>
  <c r="L96"/>
  <c r="O96" s="1"/>
  <c r="J96"/>
  <c r="P96" s="1"/>
  <c r="G96"/>
  <c r="V95"/>
  <c r="J95"/>
  <c r="L95" s="1"/>
  <c r="O95" s="1"/>
  <c r="G95"/>
  <c r="V94"/>
  <c r="J94"/>
  <c r="P94" s="1"/>
  <c r="G94"/>
  <c r="V93"/>
  <c r="L93"/>
  <c r="O93" s="1"/>
  <c r="J93"/>
  <c r="P93" s="1"/>
  <c r="G93"/>
  <c r="J92"/>
  <c r="P92" s="1"/>
  <c r="G92"/>
  <c r="J91"/>
  <c r="P91" s="1"/>
  <c r="G91"/>
  <c r="V90"/>
  <c r="L90"/>
  <c r="O90" s="1"/>
  <c r="J90"/>
  <c r="P90" s="1"/>
  <c r="G90"/>
  <c r="V89"/>
  <c r="L89"/>
  <c r="O89" s="1"/>
  <c r="J89"/>
  <c r="P89" s="1"/>
  <c r="G89"/>
  <c r="V88"/>
  <c r="P88"/>
  <c r="J88"/>
  <c r="L88" s="1"/>
  <c r="O88" s="1"/>
  <c r="G88"/>
  <c r="J87"/>
  <c r="P87" s="1"/>
  <c r="G87"/>
  <c r="V86"/>
  <c r="J86"/>
  <c r="P86" s="1"/>
  <c r="G86"/>
  <c r="V85"/>
  <c r="J85"/>
  <c r="L85" s="1"/>
  <c r="O85" s="1"/>
  <c r="G85"/>
  <c r="J84"/>
  <c r="P84" s="1"/>
  <c r="G84"/>
  <c r="J83"/>
  <c r="P83" s="1"/>
  <c r="G83"/>
  <c r="R82"/>
  <c r="G82"/>
  <c r="J82" s="1"/>
  <c r="P82" s="1"/>
  <c r="R81"/>
  <c r="J81"/>
  <c r="P81" s="1"/>
  <c r="G81"/>
  <c r="G80"/>
  <c r="J80" s="1"/>
  <c r="G79"/>
  <c r="J79" s="1"/>
  <c r="L79" s="1"/>
  <c r="O79" s="1"/>
  <c r="V78"/>
  <c r="J78"/>
  <c r="P78" s="1"/>
  <c r="G78"/>
  <c r="G77"/>
  <c r="J77" s="1"/>
  <c r="V76"/>
  <c r="L76"/>
  <c r="O76" s="1"/>
  <c r="J76"/>
  <c r="P76" s="1"/>
  <c r="G76"/>
  <c r="L75"/>
  <c r="O75" s="1"/>
  <c r="J75"/>
  <c r="P75" s="1"/>
  <c r="G75"/>
  <c r="G74"/>
  <c r="J74" s="1"/>
  <c r="J73"/>
  <c r="L73" s="1"/>
  <c r="O73" s="1"/>
  <c r="G73"/>
  <c r="G72"/>
  <c r="J72" s="1"/>
  <c r="G71"/>
  <c r="J71" s="1"/>
  <c r="G70"/>
  <c r="J70" s="1"/>
  <c r="G69"/>
  <c r="J69" s="1"/>
  <c r="P69" s="1"/>
  <c r="V68"/>
  <c r="G68"/>
  <c r="J68" s="1"/>
  <c r="G67"/>
  <c r="J67" s="1"/>
  <c r="G66"/>
  <c r="J66" s="1"/>
  <c r="L66" s="1"/>
  <c r="O66" s="1"/>
  <c r="L65"/>
  <c r="O65" s="1"/>
  <c r="J65"/>
  <c r="P65" s="1"/>
  <c r="G65"/>
  <c r="V64"/>
  <c r="G64"/>
  <c r="J64" s="1"/>
  <c r="V63"/>
  <c r="G63"/>
  <c r="J63" s="1"/>
  <c r="R62"/>
  <c r="G62"/>
  <c r="J62" s="1"/>
  <c r="G61"/>
  <c r="J61" s="1"/>
  <c r="L61" s="1"/>
  <c r="O61" s="1"/>
  <c r="V60"/>
  <c r="J60"/>
  <c r="P60" s="1"/>
  <c r="G60"/>
  <c r="G59"/>
  <c r="J59" s="1"/>
  <c r="R58"/>
  <c r="J58"/>
  <c r="P58" s="1"/>
  <c r="G58"/>
  <c r="V57"/>
  <c r="G57"/>
  <c r="J57" s="1"/>
  <c r="V56"/>
  <c r="G56"/>
  <c r="J56" s="1"/>
  <c r="G55"/>
  <c r="J55" s="1"/>
  <c r="G54"/>
  <c r="J54" s="1"/>
  <c r="G53"/>
  <c r="J53" s="1"/>
  <c r="P53" s="1"/>
  <c r="J52"/>
  <c r="P52" s="1"/>
  <c r="G52"/>
  <c r="V51"/>
  <c r="G51"/>
  <c r="J51" s="1"/>
  <c r="J50"/>
  <c r="P50" s="1"/>
  <c r="G50"/>
  <c r="J49"/>
  <c r="P49" s="1"/>
  <c r="G49"/>
  <c r="V48"/>
  <c r="G48"/>
  <c r="J48" s="1"/>
  <c r="V47"/>
  <c r="G47"/>
  <c r="J47" s="1"/>
  <c r="G46"/>
  <c r="J46" s="1"/>
  <c r="G45"/>
  <c r="J45" s="1"/>
  <c r="R44"/>
  <c r="G44"/>
  <c r="J44" s="1"/>
  <c r="G43"/>
  <c r="J43" s="1"/>
  <c r="G42"/>
  <c r="J42" s="1"/>
  <c r="V41"/>
  <c r="J41"/>
  <c r="P41" s="1"/>
  <c r="G41"/>
  <c r="J40"/>
  <c r="P40" s="1"/>
  <c r="G40"/>
  <c r="V39"/>
  <c r="G39"/>
  <c r="J39" s="1"/>
  <c r="L39" s="1"/>
  <c r="O39" s="1"/>
  <c r="V38"/>
  <c r="J38"/>
  <c r="P38" s="1"/>
  <c r="G38"/>
  <c r="G37"/>
  <c r="J37" s="1"/>
  <c r="G36"/>
  <c r="J36" s="1"/>
  <c r="L36" s="1"/>
  <c r="O36" s="1"/>
  <c r="V35"/>
  <c r="J35"/>
  <c r="P35" s="1"/>
  <c r="G35"/>
  <c r="G34"/>
  <c r="J34" s="1"/>
  <c r="G33"/>
  <c r="J33" s="1"/>
  <c r="P33" s="1"/>
  <c r="G32"/>
  <c r="J32" s="1"/>
  <c r="G31"/>
  <c r="J31" s="1"/>
  <c r="G30"/>
  <c r="J30" s="1"/>
  <c r="J29"/>
  <c r="L29" s="1"/>
  <c r="O29" s="1"/>
  <c r="G29"/>
  <c r="J28"/>
  <c r="P28" s="1"/>
  <c r="G28"/>
  <c r="J27"/>
  <c r="P27" s="1"/>
  <c r="G27"/>
  <c r="G26"/>
  <c r="J26" s="1"/>
  <c r="G25"/>
  <c r="J25" s="1"/>
  <c r="L25" s="1"/>
  <c r="O25" s="1"/>
  <c r="G24"/>
  <c r="J24" s="1"/>
  <c r="G23"/>
  <c r="J23" s="1"/>
  <c r="R22"/>
  <c r="J22"/>
  <c r="L22" s="1"/>
  <c r="O22" s="1"/>
  <c r="G22"/>
  <c r="J21"/>
  <c r="P21" s="1"/>
  <c r="G21"/>
  <c r="J20"/>
  <c r="P20" s="1"/>
  <c r="G20"/>
  <c r="G19"/>
  <c r="J19" s="1"/>
  <c r="G18"/>
  <c r="J18" s="1"/>
  <c r="L18" s="1"/>
  <c r="O18" s="1"/>
  <c r="G17"/>
  <c r="J17" s="1"/>
  <c r="G16"/>
  <c r="J16" s="1"/>
  <c r="G15"/>
  <c r="J15" s="1"/>
  <c r="J14"/>
  <c r="L14" s="1"/>
  <c r="O14" s="1"/>
  <c r="G14"/>
  <c r="J13"/>
  <c r="P13" s="1"/>
  <c r="G13"/>
  <c r="J12"/>
  <c r="P12" s="1"/>
  <c r="G12"/>
  <c r="G11"/>
  <c r="J11" s="1"/>
  <c r="J10"/>
  <c r="P10" s="1"/>
  <c r="G10"/>
  <c r="J9"/>
  <c r="P9" s="1"/>
  <c r="G9"/>
  <c r="G8"/>
  <c r="J8" s="1"/>
  <c r="G7"/>
  <c r="G6"/>
  <c r="J6" s="1"/>
  <c r="L6" s="1"/>
  <c r="O6" s="1"/>
  <c r="D6" i="858"/>
  <c r="M98" i="860"/>
  <c r="K98"/>
  <c r="I98"/>
  <c r="H98"/>
  <c r="D98"/>
  <c r="J97"/>
  <c r="P97" s="1"/>
  <c r="G97"/>
  <c r="J96"/>
  <c r="P96" s="1"/>
  <c r="G96"/>
  <c r="V95"/>
  <c r="J95"/>
  <c r="P95" s="1"/>
  <c r="G95"/>
  <c r="V94"/>
  <c r="J94"/>
  <c r="L94" s="1"/>
  <c r="O94" s="1"/>
  <c r="G94"/>
  <c r="V93"/>
  <c r="L93"/>
  <c r="O93" s="1"/>
  <c r="J93"/>
  <c r="P93" s="1"/>
  <c r="G93"/>
  <c r="J92"/>
  <c r="P92" s="1"/>
  <c r="G92"/>
  <c r="L91"/>
  <c r="O91" s="1"/>
  <c r="J91"/>
  <c r="P91" s="1"/>
  <c r="G91"/>
  <c r="V90"/>
  <c r="P90"/>
  <c r="J90"/>
  <c r="L90" s="1"/>
  <c r="O90" s="1"/>
  <c r="G90"/>
  <c r="V89"/>
  <c r="J89"/>
  <c r="L89" s="1"/>
  <c r="O89" s="1"/>
  <c r="G89"/>
  <c r="V88"/>
  <c r="J88"/>
  <c r="P88" s="1"/>
  <c r="G88"/>
  <c r="J87"/>
  <c r="P87" s="1"/>
  <c r="G87"/>
  <c r="V86"/>
  <c r="J86"/>
  <c r="L86" s="1"/>
  <c r="O86" s="1"/>
  <c r="G86"/>
  <c r="V85"/>
  <c r="J85"/>
  <c r="P85" s="1"/>
  <c r="G85"/>
  <c r="J84"/>
  <c r="P84" s="1"/>
  <c r="G84"/>
  <c r="J83"/>
  <c r="L83" s="1"/>
  <c r="O83" s="1"/>
  <c r="G83"/>
  <c r="R82"/>
  <c r="J82"/>
  <c r="P82" s="1"/>
  <c r="G82"/>
  <c r="R81"/>
  <c r="J81"/>
  <c r="L81" s="1"/>
  <c r="O81" s="1"/>
  <c r="G81"/>
  <c r="G80"/>
  <c r="J80" s="1"/>
  <c r="G79"/>
  <c r="J79" s="1"/>
  <c r="P79" s="1"/>
  <c r="V78"/>
  <c r="J78"/>
  <c r="L78" s="1"/>
  <c r="O78" s="1"/>
  <c r="G78"/>
  <c r="G77"/>
  <c r="J77" s="1"/>
  <c r="V76"/>
  <c r="G76"/>
  <c r="J76" s="1"/>
  <c r="G75"/>
  <c r="J75" s="1"/>
  <c r="L75" s="1"/>
  <c r="O75" s="1"/>
  <c r="G74"/>
  <c r="J74" s="1"/>
  <c r="J73"/>
  <c r="P73" s="1"/>
  <c r="G73"/>
  <c r="G72"/>
  <c r="J72" s="1"/>
  <c r="J71"/>
  <c r="L71" s="1"/>
  <c r="O71" s="1"/>
  <c r="G71"/>
  <c r="G70"/>
  <c r="J70" s="1"/>
  <c r="J69"/>
  <c r="P69" s="1"/>
  <c r="G69"/>
  <c r="V68"/>
  <c r="G68"/>
  <c r="J68" s="1"/>
  <c r="L68" s="1"/>
  <c r="O68" s="1"/>
  <c r="G67"/>
  <c r="J67" s="1"/>
  <c r="J66"/>
  <c r="P66" s="1"/>
  <c r="G66"/>
  <c r="G65"/>
  <c r="J65" s="1"/>
  <c r="V64"/>
  <c r="G64"/>
  <c r="J64" s="1"/>
  <c r="V63"/>
  <c r="G63"/>
  <c r="J63" s="1"/>
  <c r="R62"/>
  <c r="G62"/>
  <c r="J62" s="1"/>
  <c r="G61"/>
  <c r="J61" s="1"/>
  <c r="P61" s="1"/>
  <c r="V60"/>
  <c r="J60"/>
  <c r="L60" s="1"/>
  <c r="O60" s="1"/>
  <c r="G60"/>
  <c r="G59"/>
  <c r="J59" s="1"/>
  <c r="R58"/>
  <c r="G58"/>
  <c r="J58" s="1"/>
  <c r="V57"/>
  <c r="G57"/>
  <c r="J57" s="1"/>
  <c r="V56"/>
  <c r="G56"/>
  <c r="J56" s="1"/>
  <c r="G55"/>
  <c r="J55" s="1"/>
  <c r="L55" s="1"/>
  <c r="O55" s="1"/>
  <c r="G54"/>
  <c r="J54" s="1"/>
  <c r="G53"/>
  <c r="J53" s="1"/>
  <c r="P53" s="1"/>
  <c r="G52"/>
  <c r="J52" s="1"/>
  <c r="V51"/>
  <c r="G51"/>
  <c r="J51" s="1"/>
  <c r="G50"/>
  <c r="J50" s="1"/>
  <c r="P50" s="1"/>
  <c r="G49"/>
  <c r="J49" s="1"/>
  <c r="V48"/>
  <c r="G48"/>
  <c r="J48" s="1"/>
  <c r="V47"/>
  <c r="G47"/>
  <c r="J47" s="1"/>
  <c r="G46"/>
  <c r="J46" s="1"/>
  <c r="L46" s="1"/>
  <c r="O46" s="1"/>
  <c r="G45"/>
  <c r="J45" s="1"/>
  <c r="R44"/>
  <c r="G44"/>
  <c r="J44" s="1"/>
  <c r="G43"/>
  <c r="J43" s="1"/>
  <c r="L43" s="1"/>
  <c r="O43" s="1"/>
  <c r="G42"/>
  <c r="J42" s="1"/>
  <c r="V41"/>
  <c r="G41"/>
  <c r="J41" s="1"/>
  <c r="J40"/>
  <c r="L40" s="1"/>
  <c r="O40" s="1"/>
  <c r="G40"/>
  <c r="V39"/>
  <c r="G39"/>
  <c r="J39" s="1"/>
  <c r="P39" s="1"/>
  <c r="V38"/>
  <c r="J38"/>
  <c r="L38" s="1"/>
  <c r="O38" s="1"/>
  <c r="G38"/>
  <c r="G37"/>
  <c r="J37" s="1"/>
  <c r="J36"/>
  <c r="P36" s="1"/>
  <c r="G36"/>
  <c r="V35"/>
  <c r="J35"/>
  <c r="L35" s="1"/>
  <c r="O35" s="1"/>
  <c r="G35"/>
  <c r="G34"/>
  <c r="J34" s="1"/>
  <c r="G33"/>
  <c r="J33" s="1"/>
  <c r="P33" s="1"/>
  <c r="G32"/>
  <c r="J32" s="1"/>
  <c r="J31"/>
  <c r="L31" s="1"/>
  <c r="O31" s="1"/>
  <c r="G31"/>
  <c r="G30"/>
  <c r="J30" s="1"/>
  <c r="J29"/>
  <c r="P29" s="1"/>
  <c r="G29"/>
  <c r="G28"/>
  <c r="J28" s="1"/>
  <c r="J27"/>
  <c r="L27" s="1"/>
  <c r="O27" s="1"/>
  <c r="G27"/>
  <c r="G26"/>
  <c r="J26" s="1"/>
  <c r="G25"/>
  <c r="J25" s="1"/>
  <c r="P25" s="1"/>
  <c r="G24"/>
  <c r="J24" s="1"/>
  <c r="J23"/>
  <c r="L23" s="1"/>
  <c r="O23" s="1"/>
  <c r="G23"/>
  <c r="R22"/>
  <c r="J22"/>
  <c r="P22" s="1"/>
  <c r="G22"/>
  <c r="G21"/>
  <c r="J21" s="1"/>
  <c r="J20"/>
  <c r="L20" s="1"/>
  <c r="O20" s="1"/>
  <c r="G20"/>
  <c r="G19"/>
  <c r="J19" s="1"/>
  <c r="G18"/>
  <c r="J18" s="1"/>
  <c r="P18" s="1"/>
  <c r="G17"/>
  <c r="J17" s="1"/>
  <c r="J16"/>
  <c r="L16" s="1"/>
  <c r="O16" s="1"/>
  <c r="G16"/>
  <c r="G15"/>
  <c r="J15" s="1"/>
  <c r="G14"/>
  <c r="J14" s="1"/>
  <c r="P14" s="1"/>
  <c r="G13"/>
  <c r="J13" s="1"/>
  <c r="G12"/>
  <c r="J12" s="1"/>
  <c r="L12" s="1"/>
  <c r="O12" s="1"/>
  <c r="G11"/>
  <c r="J11" s="1"/>
  <c r="G10"/>
  <c r="J10" s="1"/>
  <c r="G9"/>
  <c r="J9" s="1"/>
  <c r="L9" s="1"/>
  <c r="O9" s="1"/>
  <c r="G8"/>
  <c r="J8" s="1"/>
  <c r="G7"/>
  <c r="J7" s="1"/>
  <c r="E98"/>
  <c r="G6"/>
  <c r="J6" s="1"/>
  <c r="L6" s="1"/>
  <c r="O98" i="871" l="1"/>
  <c r="Q98" s="1"/>
  <c r="Q6"/>
  <c r="L98" i="870"/>
  <c r="O6"/>
  <c r="O98" i="869"/>
  <c r="Q98" s="1"/>
  <c r="Q6"/>
  <c r="O98" i="866"/>
  <c r="Q98" s="1"/>
  <c r="Q6"/>
  <c r="Q10" i="865"/>
  <c r="P98"/>
  <c r="P101" s="1"/>
  <c r="Q6"/>
  <c r="O7"/>
  <c r="O98" s="1"/>
  <c r="L98"/>
  <c r="L98" i="864"/>
  <c r="O6"/>
  <c r="P98"/>
  <c r="P101" s="1"/>
  <c r="P65" i="863"/>
  <c r="L65"/>
  <c r="O65" s="1"/>
  <c r="P72"/>
  <c r="L72"/>
  <c r="O72" s="1"/>
  <c r="P43"/>
  <c r="L43"/>
  <c r="O43" s="1"/>
  <c r="P76"/>
  <c r="L76"/>
  <c r="O76" s="1"/>
  <c r="L9"/>
  <c r="O9" s="1"/>
  <c r="L10"/>
  <c r="O10" s="1"/>
  <c r="Q10" s="1"/>
  <c r="L12"/>
  <c r="O12" s="1"/>
  <c r="L13"/>
  <c r="O13" s="1"/>
  <c r="L20"/>
  <c r="O20" s="1"/>
  <c r="L21"/>
  <c r="O21" s="1"/>
  <c r="L27"/>
  <c r="O27" s="1"/>
  <c r="L28"/>
  <c r="O28" s="1"/>
  <c r="L35"/>
  <c r="O35" s="1"/>
  <c r="L38"/>
  <c r="O38" s="1"/>
  <c r="L40"/>
  <c r="O40" s="1"/>
  <c r="L41"/>
  <c r="O41" s="1"/>
  <c r="L44"/>
  <c r="O44" s="1"/>
  <c r="L49"/>
  <c r="O49" s="1"/>
  <c r="L58"/>
  <c r="O58" s="1"/>
  <c r="L84"/>
  <c r="O84" s="1"/>
  <c r="P93"/>
  <c r="L94"/>
  <c r="O94" s="1"/>
  <c r="P95"/>
  <c r="L96"/>
  <c r="O96" s="1"/>
  <c r="P52"/>
  <c r="L52"/>
  <c r="O52" s="1"/>
  <c r="P63"/>
  <c r="L63"/>
  <c r="O63" s="1"/>
  <c r="P86"/>
  <c r="L16"/>
  <c r="O16" s="1"/>
  <c r="L17"/>
  <c r="O17" s="1"/>
  <c r="L23"/>
  <c r="O23" s="1"/>
  <c r="L24"/>
  <c r="O24" s="1"/>
  <c r="L31"/>
  <c r="O31" s="1"/>
  <c r="L32"/>
  <c r="O32" s="1"/>
  <c r="L46"/>
  <c r="O46" s="1"/>
  <c r="L47"/>
  <c r="O47" s="1"/>
  <c r="L56"/>
  <c r="O56" s="1"/>
  <c r="P88"/>
  <c r="L89"/>
  <c r="O89" s="1"/>
  <c r="P90"/>
  <c r="L91"/>
  <c r="O91" s="1"/>
  <c r="L42"/>
  <c r="O42" s="1"/>
  <c r="P42"/>
  <c r="L59"/>
  <c r="O59" s="1"/>
  <c r="P59"/>
  <c r="L71"/>
  <c r="O71" s="1"/>
  <c r="P71"/>
  <c r="L77"/>
  <c r="O77" s="1"/>
  <c r="P77"/>
  <c r="L8"/>
  <c r="O8" s="1"/>
  <c r="P8"/>
  <c r="L11"/>
  <c r="O11" s="1"/>
  <c r="P11"/>
  <c r="L19"/>
  <c r="O19" s="1"/>
  <c r="P19"/>
  <c r="L26"/>
  <c r="O26" s="1"/>
  <c r="P26"/>
  <c r="L34"/>
  <c r="O34" s="1"/>
  <c r="P34"/>
  <c r="L37"/>
  <c r="O37" s="1"/>
  <c r="P37"/>
  <c r="L64"/>
  <c r="O64" s="1"/>
  <c r="P64"/>
  <c r="L68"/>
  <c r="O68" s="1"/>
  <c r="P68"/>
  <c r="L70"/>
  <c r="O70" s="1"/>
  <c r="P70"/>
  <c r="L75"/>
  <c r="O75" s="1"/>
  <c r="P75"/>
  <c r="L83"/>
  <c r="O83" s="1"/>
  <c r="P83"/>
  <c r="L48"/>
  <c r="O48" s="1"/>
  <c r="P48"/>
  <c r="L57"/>
  <c r="O57" s="1"/>
  <c r="P57"/>
  <c r="L67"/>
  <c r="O67" s="1"/>
  <c r="P67"/>
  <c r="L74"/>
  <c r="O74" s="1"/>
  <c r="P74"/>
  <c r="L81"/>
  <c r="O81" s="1"/>
  <c r="P81"/>
  <c r="L54"/>
  <c r="O54" s="1"/>
  <c r="P54"/>
  <c r="L15"/>
  <c r="O15" s="1"/>
  <c r="P15"/>
  <c r="L30"/>
  <c r="O30" s="1"/>
  <c r="P30"/>
  <c r="L45"/>
  <c r="O45" s="1"/>
  <c r="P45"/>
  <c r="L51"/>
  <c r="O51" s="1"/>
  <c r="P51"/>
  <c r="P55"/>
  <c r="L55"/>
  <c r="O55" s="1"/>
  <c r="P60"/>
  <c r="L60"/>
  <c r="O60" s="1"/>
  <c r="L62"/>
  <c r="O62" s="1"/>
  <c r="P62"/>
  <c r="P78"/>
  <c r="L78"/>
  <c r="O78" s="1"/>
  <c r="L80"/>
  <c r="O80" s="1"/>
  <c r="P80"/>
  <c r="P7"/>
  <c r="P14"/>
  <c r="P22"/>
  <c r="P25"/>
  <c r="P39"/>
  <c r="P66"/>
  <c r="P73"/>
  <c r="P79"/>
  <c r="P87"/>
  <c r="P97"/>
  <c r="G6"/>
  <c r="L18"/>
  <c r="O18" s="1"/>
  <c r="L29"/>
  <c r="O29" s="1"/>
  <c r="L33"/>
  <c r="O33" s="1"/>
  <c r="L36"/>
  <c r="O36" s="1"/>
  <c r="L50"/>
  <c r="O50" s="1"/>
  <c r="L53"/>
  <c r="O53" s="1"/>
  <c r="L61"/>
  <c r="O61" s="1"/>
  <c r="L69"/>
  <c r="O69" s="1"/>
  <c r="L82"/>
  <c r="O82" s="1"/>
  <c r="L85"/>
  <c r="O85" s="1"/>
  <c r="L92"/>
  <c r="O92" s="1"/>
  <c r="L33" i="862"/>
  <c r="O33" s="1"/>
  <c r="L22"/>
  <c r="O22" s="1"/>
  <c r="L36"/>
  <c r="O36" s="1"/>
  <c r="L50"/>
  <c r="O50" s="1"/>
  <c r="L61"/>
  <c r="O61" s="1"/>
  <c r="L89"/>
  <c r="O89" s="1"/>
  <c r="L7"/>
  <c r="O7" s="1"/>
  <c r="P14"/>
  <c r="L14"/>
  <c r="O14" s="1"/>
  <c r="P69"/>
  <c r="L69"/>
  <c r="O69" s="1"/>
  <c r="P25"/>
  <c r="L25"/>
  <c r="O25" s="1"/>
  <c r="P39"/>
  <c r="L39"/>
  <c r="O39" s="1"/>
  <c r="P53"/>
  <c r="L53"/>
  <c r="O53" s="1"/>
  <c r="L18"/>
  <c r="O18" s="1"/>
  <c r="L29"/>
  <c r="O29" s="1"/>
  <c r="L73"/>
  <c r="O73" s="1"/>
  <c r="L79"/>
  <c r="O79" s="1"/>
  <c r="L84"/>
  <c r="O84" s="1"/>
  <c r="L91"/>
  <c r="O91" s="1"/>
  <c r="L96"/>
  <c r="O96" s="1"/>
  <c r="P27"/>
  <c r="L27"/>
  <c r="O27" s="1"/>
  <c r="P32"/>
  <c r="L32"/>
  <c r="O32" s="1"/>
  <c r="L43"/>
  <c r="O43" s="1"/>
  <c r="P43"/>
  <c r="L71"/>
  <c r="O71" s="1"/>
  <c r="P71"/>
  <c r="P76"/>
  <c r="L76"/>
  <c r="O76" s="1"/>
  <c r="P78"/>
  <c r="L78"/>
  <c r="O78" s="1"/>
  <c r="J98"/>
  <c r="P6"/>
  <c r="L6"/>
  <c r="P20"/>
  <c r="L20"/>
  <c r="O20" s="1"/>
  <c r="P31"/>
  <c r="L31"/>
  <c r="O31" s="1"/>
  <c r="L40"/>
  <c r="O40" s="1"/>
  <c r="P40"/>
  <c r="P49"/>
  <c r="L49"/>
  <c r="O49" s="1"/>
  <c r="P65"/>
  <c r="L65"/>
  <c r="O65" s="1"/>
  <c r="L75"/>
  <c r="O75" s="1"/>
  <c r="P75"/>
  <c r="L81"/>
  <c r="O81" s="1"/>
  <c r="P81"/>
  <c r="P10"/>
  <c r="L10"/>
  <c r="O10" s="1"/>
  <c r="P13"/>
  <c r="L13"/>
  <c r="O13" s="1"/>
  <c r="P24"/>
  <c r="L24"/>
  <c r="O24" s="1"/>
  <c r="P35"/>
  <c r="L35"/>
  <c r="O35" s="1"/>
  <c r="P47"/>
  <c r="L47"/>
  <c r="O47" s="1"/>
  <c r="P52"/>
  <c r="L52"/>
  <c r="O52" s="1"/>
  <c r="P58"/>
  <c r="L58"/>
  <c r="O58" s="1"/>
  <c r="L60"/>
  <c r="O60" s="1"/>
  <c r="P60"/>
  <c r="P63"/>
  <c r="L63"/>
  <c r="O63" s="1"/>
  <c r="L16"/>
  <c r="O16" s="1"/>
  <c r="P16"/>
  <c r="P21"/>
  <c r="L21"/>
  <c r="O21" s="1"/>
  <c r="P41"/>
  <c r="L41"/>
  <c r="O41" s="1"/>
  <c r="L55"/>
  <c r="O55" s="1"/>
  <c r="P55"/>
  <c r="P9"/>
  <c r="L9"/>
  <c r="O9" s="1"/>
  <c r="L12"/>
  <c r="O12" s="1"/>
  <c r="P12"/>
  <c r="P17"/>
  <c r="L17"/>
  <c r="O17" s="1"/>
  <c r="L23"/>
  <c r="O23" s="1"/>
  <c r="P23"/>
  <c r="P28"/>
  <c r="L28"/>
  <c r="O28" s="1"/>
  <c r="L38"/>
  <c r="O38" s="1"/>
  <c r="P38"/>
  <c r="P44"/>
  <c r="L44"/>
  <c r="O44" s="1"/>
  <c r="L46"/>
  <c r="O46" s="1"/>
  <c r="P46"/>
  <c r="P56"/>
  <c r="L56"/>
  <c r="O56" s="1"/>
  <c r="L68"/>
  <c r="O68" s="1"/>
  <c r="P68"/>
  <c r="P72"/>
  <c r="L72"/>
  <c r="O72" s="1"/>
  <c r="L83"/>
  <c r="O83" s="1"/>
  <c r="P83"/>
  <c r="P15"/>
  <c r="P37"/>
  <c r="P48"/>
  <c r="P54"/>
  <c r="P59"/>
  <c r="P62"/>
  <c r="P67"/>
  <c r="P70"/>
  <c r="P77"/>
  <c r="P80"/>
  <c r="P88"/>
  <c r="P90"/>
  <c r="P93"/>
  <c r="P95"/>
  <c r="G98"/>
  <c r="P8"/>
  <c r="P11"/>
  <c r="P19"/>
  <c r="P26"/>
  <c r="P30"/>
  <c r="P34"/>
  <c r="P42"/>
  <c r="P45"/>
  <c r="P51"/>
  <c r="P57"/>
  <c r="P64"/>
  <c r="P74"/>
  <c r="L58" i="861"/>
  <c r="O58" s="1"/>
  <c r="G98"/>
  <c r="L52"/>
  <c r="O52" s="1"/>
  <c r="L86"/>
  <c r="O86" s="1"/>
  <c r="P23"/>
  <c r="L23"/>
  <c r="O23" s="1"/>
  <c r="P32"/>
  <c r="L32"/>
  <c r="O32" s="1"/>
  <c r="P44"/>
  <c r="L44"/>
  <c r="O44" s="1"/>
  <c r="P47"/>
  <c r="L47"/>
  <c r="O47" s="1"/>
  <c r="P56"/>
  <c r="L56"/>
  <c r="O56" s="1"/>
  <c r="P68"/>
  <c r="L68"/>
  <c r="O68" s="1"/>
  <c r="P71"/>
  <c r="L71"/>
  <c r="O71" s="1"/>
  <c r="P31"/>
  <c r="L31"/>
  <c r="O31" s="1"/>
  <c r="P43"/>
  <c r="L43"/>
  <c r="O43" s="1"/>
  <c r="P46"/>
  <c r="L46"/>
  <c r="O46" s="1"/>
  <c r="P55"/>
  <c r="L55"/>
  <c r="O55" s="1"/>
  <c r="P63"/>
  <c r="L63"/>
  <c r="O63" s="1"/>
  <c r="P17"/>
  <c r="L17"/>
  <c r="O17" s="1"/>
  <c r="P16"/>
  <c r="L16"/>
  <c r="O16" s="1"/>
  <c r="P24"/>
  <c r="L24"/>
  <c r="O24" s="1"/>
  <c r="P72"/>
  <c r="L72"/>
  <c r="O72" s="1"/>
  <c r="P95"/>
  <c r="L91"/>
  <c r="O91" s="1"/>
  <c r="J7"/>
  <c r="L7" s="1"/>
  <c r="L9"/>
  <c r="O9" s="1"/>
  <c r="L10"/>
  <c r="O10" s="1"/>
  <c r="L12"/>
  <c r="O12" s="1"/>
  <c r="L13"/>
  <c r="O13" s="1"/>
  <c r="L20"/>
  <c r="O20" s="1"/>
  <c r="L21"/>
  <c r="O21" s="1"/>
  <c r="L27"/>
  <c r="O27" s="1"/>
  <c r="L28"/>
  <c r="O28" s="1"/>
  <c r="L35"/>
  <c r="O35" s="1"/>
  <c r="L38"/>
  <c r="O38" s="1"/>
  <c r="L40"/>
  <c r="O40" s="1"/>
  <c r="L41"/>
  <c r="O41" s="1"/>
  <c r="L49"/>
  <c r="O49" s="1"/>
  <c r="L60"/>
  <c r="O60" s="1"/>
  <c r="L78"/>
  <c r="O78" s="1"/>
  <c r="L81"/>
  <c r="O81" s="1"/>
  <c r="L83"/>
  <c r="O83" s="1"/>
  <c r="L84"/>
  <c r="O84" s="1"/>
  <c r="L94"/>
  <c r="O94" s="1"/>
  <c r="L30"/>
  <c r="O30" s="1"/>
  <c r="P30"/>
  <c r="L45"/>
  <c r="O45" s="1"/>
  <c r="P45"/>
  <c r="L51"/>
  <c r="O51" s="1"/>
  <c r="P51"/>
  <c r="L64"/>
  <c r="O64" s="1"/>
  <c r="P64"/>
  <c r="L42"/>
  <c r="O42" s="1"/>
  <c r="P42"/>
  <c r="L54"/>
  <c r="O54" s="1"/>
  <c r="P54"/>
  <c r="L67"/>
  <c r="O67" s="1"/>
  <c r="P67"/>
  <c r="L70"/>
  <c r="O70" s="1"/>
  <c r="P70"/>
  <c r="L8"/>
  <c r="O8" s="1"/>
  <c r="P8"/>
  <c r="L11"/>
  <c r="O11" s="1"/>
  <c r="P11"/>
  <c r="L19"/>
  <c r="O19" s="1"/>
  <c r="P19"/>
  <c r="L26"/>
  <c r="O26" s="1"/>
  <c r="P26"/>
  <c r="L34"/>
  <c r="O34" s="1"/>
  <c r="P34"/>
  <c r="L37"/>
  <c r="O37" s="1"/>
  <c r="P37"/>
  <c r="L59"/>
  <c r="O59" s="1"/>
  <c r="P59"/>
  <c r="L62"/>
  <c r="O62" s="1"/>
  <c r="P62"/>
  <c r="L77"/>
  <c r="O77" s="1"/>
  <c r="P77"/>
  <c r="L80"/>
  <c r="O80" s="1"/>
  <c r="P80"/>
  <c r="L15"/>
  <c r="O15" s="1"/>
  <c r="P15"/>
  <c r="L57"/>
  <c r="O57" s="1"/>
  <c r="P57"/>
  <c r="O7"/>
  <c r="L48"/>
  <c r="O48" s="1"/>
  <c r="P48"/>
  <c r="L74"/>
  <c r="O74" s="1"/>
  <c r="P74"/>
  <c r="Q10"/>
  <c r="P14"/>
  <c r="P18"/>
  <c r="P22"/>
  <c r="P25"/>
  <c r="P29"/>
  <c r="P36"/>
  <c r="P39"/>
  <c r="P61"/>
  <c r="P66"/>
  <c r="P73"/>
  <c r="P79"/>
  <c r="P85"/>
  <c r="P6"/>
  <c r="L33"/>
  <c r="O33" s="1"/>
  <c r="L50"/>
  <c r="O50" s="1"/>
  <c r="L53"/>
  <c r="O53" s="1"/>
  <c r="L69"/>
  <c r="O69" s="1"/>
  <c r="L82"/>
  <c r="O82" s="1"/>
  <c r="L87"/>
  <c r="O87" s="1"/>
  <c r="L92"/>
  <c r="O92" s="1"/>
  <c r="L97"/>
  <c r="O97" s="1"/>
  <c r="P89" i="860"/>
  <c r="P94"/>
  <c r="L95"/>
  <c r="O95" s="1"/>
  <c r="G98"/>
  <c r="L84"/>
  <c r="O84" s="1"/>
  <c r="L88"/>
  <c r="O88" s="1"/>
  <c r="L96"/>
  <c r="O96" s="1"/>
  <c r="P8"/>
  <c r="L8"/>
  <c r="O8" s="1"/>
  <c r="L10"/>
  <c r="O10" s="1"/>
  <c r="P10"/>
  <c r="L13"/>
  <c r="O13" s="1"/>
  <c r="P13"/>
  <c r="L21"/>
  <c r="O21" s="1"/>
  <c r="P21"/>
  <c r="L28"/>
  <c r="O28" s="1"/>
  <c r="P28"/>
  <c r="L41"/>
  <c r="O41" s="1"/>
  <c r="P41"/>
  <c r="P48"/>
  <c r="L48"/>
  <c r="O48" s="1"/>
  <c r="P70"/>
  <c r="L70"/>
  <c r="O70" s="1"/>
  <c r="L7"/>
  <c r="O7" s="1"/>
  <c r="P7"/>
  <c r="P15"/>
  <c r="L15"/>
  <c r="O15" s="1"/>
  <c r="P30"/>
  <c r="L30"/>
  <c r="O30" s="1"/>
  <c r="P37"/>
  <c r="L37"/>
  <c r="O37" s="1"/>
  <c r="P45"/>
  <c r="L45"/>
  <c r="O45" s="1"/>
  <c r="L52"/>
  <c r="O52" s="1"/>
  <c r="P52"/>
  <c r="P57"/>
  <c r="L57"/>
  <c r="O57" s="1"/>
  <c r="P59"/>
  <c r="L59"/>
  <c r="O59" s="1"/>
  <c r="L63"/>
  <c r="O63" s="1"/>
  <c r="P63"/>
  <c r="L65"/>
  <c r="O65" s="1"/>
  <c r="P65"/>
  <c r="L72"/>
  <c r="O72" s="1"/>
  <c r="P72"/>
  <c r="P77"/>
  <c r="L77"/>
  <c r="O77" s="1"/>
  <c r="L17"/>
  <c r="O17" s="1"/>
  <c r="P17"/>
  <c r="L24"/>
  <c r="O24" s="1"/>
  <c r="P24"/>
  <c r="L32"/>
  <c r="O32" s="1"/>
  <c r="P32"/>
  <c r="P42"/>
  <c r="L42"/>
  <c r="O42" s="1"/>
  <c r="L47"/>
  <c r="O47" s="1"/>
  <c r="P47"/>
  <c r="L49"/>
  <c r="O49" s="1"/>
  <c r="P49"/>
  <c r="P54"/>
  <c r="L54"/>
  <c r="O54" s="1"/>
  <c r="P67"/>
  <c r="L67"/>
  <c r="O67" s="1"/>
  <c r="P74"/>
  <c r="L74"/>
  <c r="O74" s="1"/>
  <c r="O6"/>
  <c r="P11"/>
  <c r="L11"/>
  <c r="O11" s="1"/>
  <c r="P19"/>
  <c r="L19"/>
  <c r="O19" s="1"/>
  <c r="P26"/>
  <c r="L26"/>
  <c r="O26" s="1"/>
  <c r="P34"/>
  <c r="L34"/>
  <c r="O34" s="1"/>
  <c r="L44"/>
  <c r="O44" s="1"/>
  <c r="P44"/>
  <c r="P51"/>
  <c r="L51"/>
  <c r="O51" s="1"/>
  <c r="L56"/>
  <c r="O56" s="1"/>
  <c r="P56"/>
  <c r="L58"/>
  <c r="O58" s="1"/>
  <c r="P58"/>
  <c r="P62"/>
  <c r="L62"/>
  <c r="O62" s="1"/>
  <c r="P64"/>
  <c r="L64"/>
  <c r="O64" s="1"/>
  <c r="L76"/>
  <c r="O76" s="1"/>
  <c r="P76"/>
  <c r="P80"/>
  <c r="L80"/>
  <c r="O80" s="1"/>
  <c r="F98"/>
  <c r="J98"/>
  <c r="P6"/>
  <c r="P9"/>
  <c r="P12"/>
  <c r="L14"/>
  <c r="O14" s="1"/>
  <c r="P16"/>
  <c r="L18"/>
  <c r="O18" s="1"/>
  <c r="P20"/>
  <c r="L22"/>
  <c r="O22" s="1"/>
  <c r="P23"/>
  <c r="L25"/>
  <c r="O25" s="1"/>
  <c r="P27"/>
  <c r="L29"/>
  <c r="O29" s="1"/>
  <c r="P31"/>
  <c r="L33"/>
  <c r="O33" s="1"/>
  <c r="P35"/>
  <c r="L36"/>
  <c r="O36" s="1"/>
  <c r="P38"/>
  <c r="L39"/>
  <c r="O39" s="1"/>
  <c r="P40"/>
  <c r="P43"/>
  <c r="P46"/>
  <c r="L50"/>
  <c r="O50" s="1"/>
  <c r="L53"/>
  <c r="O53" s="1"/>
  <c r="P55"/>
  <c r="P60"/>
  <c r="L61"/>
  <c r="O61" s="1"/>
  <c r="L66"/>
  <c r="O66" s="1"/>
  <c r="P68"/>
  <c r="L69"/>
  <c r="O69" s="1"/>
  <c r="P71"/>
  <c r="L73"/>
  <c r="O73" s="1"/>
  <c r="P75"/>
  <c r="P78"/>
  <c r="L79"/>
  <c r="O79" s="1"/>
  <c r="P81"/>
  <c r="L82"/>
  <c r="O82" s="1"/>
  <c r="P83"/>
  <c r="L85"/>
  <c r="O85" s="1"/>
  <c r="P86"/>
  <c r="L87"/>
  <c r="O87" s="1"/>
  <c r="L92"/>
  <c r="O92" s="1"/>
  <c r="L97"/>
  <c r="O97" s="1"/>
  <c r="F7" i="859"/>
  <c r="F8"/>
  <c r="E7"/>
  <c r="E8"/>
  <c r="M98"/>
  <c r="K98"/>
  <c r="I98"/>
  <c r="H98"/>
  <c r="E98"/>
  <c r="D98"/>
  <c r="J97"/>
  <c r="P97" s="1"/>
  <c r="G97"/>
  <c r="J96"/>
  <c r="L96" s="1"/>
  <c r="O96" s="1"/>
  <c r="G96"/>
  <c r="V95"/>
  <c r="J95"/>
  <c r="L95" s="1"/>
  <c r="O95" s="1"/>
  <c r="G95"/>
  <c r="V94"/>
  <c r="J94"/>
  <c r="P94" s="1"/>
  <c r="G94"/>
  <c r="V93"/>
  <c r="J93"/>
  <c r="L93" s="1"/>
  <c r="O93" s="1"/>
  <c r="G93"/>
  <c r="J92"/>
  <c r="P92" s="1"/>
  <c r="G92"/>
  <c r="J91"/>
  <c r="L91" s="1"/>
  <c r="O91" s="1"/>
  <c r="G91"/>
  <c r="V90"/>
  <c r="J90"/>
  <c r="L90" s="1"/>
  <c r="O90" s="1"/>
  <c r="G90"/>
  <c r="V89"/>
  <c r="L89"/>
  <c r="O89" s="1"/>
  <c r="J89"/>
  <c r="P89" s="1"/>
  <c r="G89"/>
  <c r="V88"/>
  <c r="J88"/>
  <c r="L88" s="1"/>
  <c r="O88" s="1"/>
  <c r="G88"/>
  <c r="J87"/>
  <c r="P87" s="1"/>
  <c r="G87"/>
  <c r="V86"/>
  <c r="J86"/>
  <c r="L86" s="1"/>
  <c r="O86" s="1"/>
  <c r="G86"/>
  <c r="V85"/>
  <c r="J85"/>
  <c r="P85" s="1"/>
  <c r="G85"/>
  <c r="J84"/>
  <c r="L84" s="1"/>
  <c r="O84" s="1"/>
  <c r="G84"/>
  <c r="G83"/>
  <c r="J83" s="1"/>
  <c r="R82"/>
  <c r="J82"/>
  <c r="P82" s="1"/>
  <c r="G82"/>
  <c r="R81"/>
  <c r="G81"/>
  <c r="J81" s="1"/>
  <c r="J80"/>
  <c r="L80" s="1"/>
  <c r="O80" s="1"/>
  <c r="G80"/>
  <c r="G79"/>
  <c r="J79" s="1"/>
  <c r="P79" s="1"/>
  <c r="V78"/>
  <c r="G78"/>
  <c r="J78" s="1"/>
  <c r="G77"/>
  <c r="J77" s="1"/>
  <c r="L77" s="1"/>
  <c r="O77" s="1"/>
  <c r="V76"/>
  <c r="G76"/>
  <c r="J76" s="1"/>
  <c r="G75"/>
  <c r="J75" s="1"/>
  <c r="G74"/>
  <c r="J74" s="1"/>
  <c r="L74" s="1"/>
  <c r="O74" s="1"/>
  <c r="J73"/>
  <c r="P73" s="1"/>
  <c r="G73"/>
  <c r="G72"/>
  <c r="J72" s="1"/>
  <c r="G71"/>
  <c r="J71" s="1"/>
  <c r="J70"/>
  <c r="L70" s="1"/>
  <c r="O70" s="1"/>
  <c r="G70"/>
  <c r="G69"/>
  <c r="J69" s="1"/>
  <c r="V68"/>
  <c r="G68"/>
  <c r="J68" s="1"/>
  <c r="G67"/>
  <c r="J67" s="1"/>
  <c r="L67" s="1"/>
  <c r="O67" s="1"/>
  <c r="G66"/>
  <c r="J66" s="1"/>
  <c r="G65"/>
  <c r="J65" s="1"/>
  <c r="V64"/>
  <c r="G64"/>
  <c r="J64" s="1"/>
  <c r="L64" s="1"/>
  <c r="O64" s="1"/>
  <c r="V63"/>
  <c r="G63"/>
  <c r="J63" s="1"/>
  <c r="R62"/>
  <c r="G62"/>
  <c r="J62" s="1"/>
  <c r="L62" s="1"/>
  <c r="O62" s="1"/>
  <c r="G61"/>
  <c r="J61" s="1"/>
  <c r="V60"/>
  <c r="G60"/>
  <c r="J60" s="1"/>
  <c r="G59"/>
  <c r="J59" s="1"/>
  <c r="L59" s="1"/>
  <c r="O59" s="1"/>
  <c r="R58"/>
  <c r="G58"/>
  <c r="J58" s="1"/>
  <c r="V57"/>
  <c r="G57"/>
  <c r="J57" s="1"/>
  <c r="L57" s="1"/>
  <c r="O57" s="1"/>
  <c r="V56"/>
  <c r="G56"/>
  <c r="J56" s="1"/>
  <c r="G55"/>
  <c r="J55" s="1"/>
  <c r="G54"/>
  <c r="J54" s="1"/>
  <c r="L54" s="1"/>
  <c r="O54" s="1"/>
  <c r="G53"/>
  <c r="J53" s="1"/>
  <c r="G52"/>
  <c r="J52" s="1"/>
  <c r="V51"/>
  <c r="G51"/>
  <c r="J51" s="1"/>
  <c r="L51" s="1"/>
  <c r="O51" s="1"/>
  <c r="G50"/>
  <c r="J50" s="1"/>
  <c r="G49"/>
  <c r="J49" s="1"/>
  <c r="V48"/>
  <c r="G48"/>
  <c r="J48" s="1"/>
  <c r="L48" s="1"/>
  <c r="O48" s="1"/>
  <c r="V47"/>
  <c r="G47"/>
  <c r="J47" s="1"/>
  <c r="G46"/>
  <c r="J46" s="1"/>
  <c r="G45"/>
  <c r="J45" s="1"/>
  <c r="L45" s="1"/>
  <c r="O45" s="1"/>
  <c r="R44"/>
  <c r="G44"/>
  <c r="J44" s="1"/>
  <c r="G43"/>
  <c r="J43" s="1"/>
  <c r="G42"/>
  <c r="J42" s="1"/>
  <c r="L42" s="1"/>
  <c r="O42" s="1"/>
  <c r="V41"/>
  <c r="G41"/>
  <c r="J41" s="1"/>
  <c r="G40"/>
  <c r="J40" s="1"/>
  <c r="V39"/>
  <c r="G39"/>
  <c r="J39" s="1"/>
  <c r="V38"/>
  <c r="G38"/>
  <c r="J38" s="1"/>
  <c r="G37"/>
  <c r="J37" s="1"/>
  <c r="L37" s="1"/>
  <c r="O37" s="1"/>
  <c r="G36"/>
  <c r="J36" s="1"/>
  <c r="V35"/>
  <c r="G35"/>
  <c r="J35" s="1"/>
  <c r="G34"/>
  <c r="J34" s="1"/>
  <c r="L34" s="1"/>
  <c r="O34" s="1"/>
  <c r="G33"/>
  <c r="J33" s="1"/>
  <c r="G32"/>
  <c r="J32" s="1"/>
  <c r="G31"/>
  <c r="J31" s="1"/>
  <c r="G30"/>
  <c r="J30" s="1"/>
  <c r="L30" s="1"/>
  <c r="O30" s="1"/>
  <c r="J29"/>
  <c r="P29" s="1"/>
  <c r="G29"/>
  <c r="G28"/>
  <c r="J28" s="1"/>
  <c r="G27"/>
  <c r="J27" s="1"/>
  <c r="J26"/>
  <c r="L26" s="1"/>
  <c r="O26" s="1"/>
  <c r="G26"/>
  <c r="G25"/>
  <c r="J25" s="1"/>
  <c r="G24"/>
  <c r="J24" s="1"/>
  <c r="G23"/>
  <c r="J23" s="1"/>
  <c r="R22"/>
  <c r="G22"/>
  <c r="J22" s="1"/>
  <c r="G21"/>
  <c r="J21" s="1"/>
  <c r="G20"/>
  <c r="J20" s="1"/>
  <c r="G19"/>
  <c r="J19" s="1"/>
  <c r="L19" s="1"/>
  <c r="O19" s="1"/>
  <c r="J18"/>
  <c r="P18" s="1"/>
  <c r="G18"/>
  <c r="G17"/>
  <c r="J17" s="1"/>
  <c r="G16"/>
  <c r="J16" s="1"/>
  <c r="J15"/>
  <c r="L15" s="1"/>
  <c r="O15" s="1"/>
  <c r="G15"/>
  <c r="G14"/>
  <c r="J14" s="1"/>
  <c r="G13"/>
  <c r="J13" s="1"/>
  <c r="G12"/>
  <c r="J12" s="1"/>
  <c r="G11"/>
  <c r="J11" s="1"/>
  <c r="L11" s="1"/>
  <c r="O11" s="1"/>
  <c r="F98"/>
  <c r="G10"/>
  <c r="J10" s="1"/>
  <c r="J9"/>
  <c r="P9" s="1"/>
  <c r="G9"/>
  <c r="G8"/>
  <c r="J8" s="1"/>
  <c r="G7"/>
  <c r="J7" s="1"/>
  <c r="G6"/>
  <c r="F10" i="858"/>
  <c r="F98" s="1"/>
  <c r="E10"/>
  <c r="E98" s="1"/>
  <c r="E6"/>
  <c r="M98"/>
  <c r="K98"/>
  <c r="I98"/>
  <c r="H98"/>
  <c r="D98"/>
  <c r="J97"/>
  <c r="L97" s="1"/>
  <c r="O97" s="1"/>
  <c r="G97"/>
  <c r="L96"/>
  <c r="O96" s="1"/>
  <c r="J96"/>
  <c r="P96" s="1"/>
  <c r="G96"/>
  <c r="V95"/>
  <c r="J95"/>
  <c r="P95" s="1"/>
  <c r="G95"/>
  <c r="V94"/>
  <c r="J94"/>
  <c r="P94" s="1"/>
  <c r="G94"/>
  <c r="V93"/>
  <c r="J93"/>
  <c r="P93" s="1"/>
  <c r="G93"/>
  <c r="J92"/>
  <c r="L92" s="1"/>
  <c r="O92" s="1"/>
  <c r="G92"/>
  <c r="J91"/>
  <c r="P91" s="1"/>
  <c r="G91"/>
  <c r="V90"/>
  <c r="L90"/>
  <c r="O90" s="1"/>
  <c r="J90"/>
  <c r="P90" s="1"/>
  <c r="G90"/>
  <c r="V89"/>
  <c r="L89"/>
  <c r="O89" s="1"/>
  <c r="J89"/>
  <c r="P89" s="1"/>
  <c r="G89"/>
  <c r="V88"/>
  <c r="J88"/>
  <c r="P88" s="1"/>
  <c r="G88"/>
  <c r="J87"/>
  <c r="L87" s="1"/>
  <c r="O87" s="1"/>
  <c r="G87"/>
  <c r="V86"/>
  <c r="J86"/>
  <c r="P86" s="1"/>
  <c r="G86"/>
  <c r="V85"/>
  <c r="J85"/>
  <c r="P85" s="1"/>
  <c r="G85"/>
  <c r="J84"/>
  <c r="P84" s="1"/>
  <c r="G84"/>
  <c r="L83"/>
  <c r="O83" s="1"/>
  <c r="J83"/>
  <c r="P83" s="1"/>
  <c r="G83"/>
  <c r="R82"/>
  <c r="J82"/>
  <c r="P82" s="1"/>
  <c r="G82"/>
  <c r="R81"/>
  <c r="J81"/>
  <c r="P81" s="1"/>
  <c r="G81"/>
  <c r="G80"/>
  <c r="J80" s="1"/>
  <c r="G79"/>
  <c r="J79" s="1"/>
  <c r="P79" s="1"/>
  <c r="V78"/>
  <c r="G78"/>
  <c r="J78" s="1"/>
  <c r="G77"/>
  <c r="J77" s="1"/>
  <c r="V76"/>
  <c r="J76"/>
  <c r="P76" s="1"/>
  <c r="G76"/>
  <c r="J75"/>
  <c r="P75" s="1"/>
  <c r="G75"/>
  <c r="G74"/>
  <c r="J74" s="1"/>
  <c r="G73"/>
  <c r="J73" s="1"/>
  <c r="L73" s="1"/>
  <c r="O73" s="1"/>
  <c r="J72"/>
  <c r="P72" s="1"/>
  <c r="G72"/>
  <c r="G71"/>
  <c r="J71" s="1"/>
  <c r="P71" s="1"/>
  <c r="G70"/>
  <c r="J70" s="1"/>
  <c r="G69"/>
  <c r="J69" s="1"/>
  <c r="L69" s="1"/>
  <c r="O69" s="1"/>
  <c r="V68"/>
  <c r="J68"/>
  <c r="P68" s="1"/>
  <c r="G68"/>
  <c r="G67"/>
  <c r="J67" s="1"/>
  <c r="G66"/>
  <c r="J66" s="1"/>
  <c r="L66" s="1"/>
  <c r="O66" s="1"/>
  <c r="L65"/>
  <c r="O65" s="1"/>
  <c r="J65"/>
  <c r="P65" s="1"/>
  <c r="G65"/>
  <c r="V64"/>
  <c r="G64"/>
  <c r="J64" s="1"/>
  <c r="V63"/>
  <c r="J63"/>
  <c r="P63" s="1"/>
  <c r="G63"/>
  <c r="R62"/>
  <c r="G62"/>
  <c r="J62" s="1"/>
  <c r="J61"/>
  <c r="P61" s="1"/>
  <c r="G61"/>
  <c r="V60"/>
  <c r="L60"/>
  <c r="O60" s="1"/>
  <c r="J60"/>
  <c r="P60" s="1"/>
  <c r="G60"/>
  <c r="G59"/>
  <c r="J59" s="1"/>
  <c r="R58"/>
  <c r="G58"/>
  <c r="J58" s="1"/>
  <c r="V57"/>
  <c r="G57"/>
  <c r="J57" s="1"/>
  <c r="V56"/>
  <c r="J56"/>
  <c r="P56" s="1"/>
  <c r="G56"/>
  <c r="J55"/>
  <c r="P55" s="1"/>
  <c r="G55"/>
  <c r="G54"/>
  <c r="J54" s="1"/>
  <c r="G53"/>
  <c r="J53" s="1"/>
  <c r="P53" s="1"/>
  <c r="L52"/>
  <c r="O52" s="1"/>
  <c r="J52"/>
  <c r="P52" s="1"/>
  <c r="G52"/>
  <c r="V51"/>
  <c r="G51"/>
  <c r="J51" s="1"/>
  <c r="G50"/>
  <c r="J50" s="1"/>
  <c r="L50" s="1"/>
  <c r="O50" s="1"/>
  <c r="G49"/>
  <c r="J49" s="1"/>
  <c r="V48"/>
  <c r="G48"/>
  <c r="J48" s="1"/>
  <c r="V47"/>
  <c r="G47"/>
  <c r="J47" s="1"/>
  <c r="G46"/>
  <c r="J46" s="1"/>
  <c r="G45"/>
  <c r="J45" s="1"/>
  <c r="R44"/>
  <c r="J44"/>
  <c r="P44" s="1"/>
  <c r="G44"/>
  <c r="J43"/>
  <c r="P43" s="1"/>
  <c r="G43"/>
  <c r="G42"/>
  <c r="J42" s="1"/>
  <c r="V41"/>
  <c r="G41"/>
  <c r="J41" s="1"/>
  <c r="L40"/>
  <c r="O40" s="1"/>
  <c r="J40"/>
  <c r="P40" s="1"/>
  <c r="G40"/>
  <c r="V39"/>
  <c r="J39"/>
  <c r="L39" s="1"/>
  <c r="O39" s="1"/>
  <c r="G39"/>
  <c r="V38"/>
  <c r="L38"/>
  <c r="O38" s="1"/>
  <c r="J38"/>
  <c r="P38" s="1"/>
  <c r="G38"/>
  <c r="G37"/>
  <c r="J37" s="1"/>
  <c r="J36"/>
  <c r="L36" s="1"/>
  <c r="O36" s="1"/>
  <c r="G36"/>
  <c r="V35"/>
  <c r="J35"/>
  <c r="P35" s="1"/>
  <c r="G35"/>
  <c r="G34"/>
  <c r="J34" s="1"/>
  <c r="G33"/>
  <c r="J33" s="1"/>
  <c r="P33" s="1"/>
  <c r="G32"/>
  <c r="J32" s="1"/>
  <c r="G31"/>
  <c r="J31" s="1"/>
  <c r="G30"/>
  <c r="J30" s="1"/>
  <c r="G29"/>
  <c r="J29" s="1"/>
  <c r="L29" s="1"/>
  <c r="O29" s="1"/>
  <c r="J28"/>
  <c r="P28" s="1"/>
  <c r="G28"/>
  <c r="J27"/>
  <c r="P27" s="1"/>
  <c r="G27"/>
  <c r="G26"/>
  <c r="J26" s="1"/>
  <c r="J25"/>
  <c r="P25" s="1"/>
  <c r="G25"/>
  <c r="G24"/>
  <c r="J24" s="1"/>
  <c r="G23"/>
  <c r="J23" s="1"/>
  <c r="R22"/>
  <c r="J22"/>
  <c r="P22" s="1"/>
  <c r="G22"/>
  <c r="J21"/>
  <c r="P21" s="1"/>
  <c r="G21"/>
  <c r="G20"/>
  <c r="J20" s="1"/>
  <c r="G19"/>
  <c r="J19" s="1"/>
  <c r="J18"/>
  <c r="L18" s="1"/>
  <c r="O18" s="1"/>
  <c r="G18"/>
  <c r="G17"/>
  <c r="J17" s="1"/>
  <c r="G16"/>
  <c r="J16" s="1"/>
  <c r="G15"/>
  <c r="J15" s="1"/>
  <c r="G14"/>
  <c r="J14" s="1"/>
  <c r="P14" s="1"/>
  <c r="J13"/>
  <c r="P13" s="1"/>
  <c r="G13"/>
  <c r="J12"/>
  <c r="P12" s="1"/>
  <c r="G12"/>
  <c r="G11"/>
  <c r="J11" s="1"/>
  <c r="G10"/>
  <c r="J10" s="1"/>
  <c r="P10" s="1"/>
  <c r="J9"/>
  <c r="P9" s="1"/>
  <c r="G9"/>
  <c r="G8"/>
  <c r="J8" s="1"/>
  <c r="G7"/>
  <c r="J7" s="1"/>
  <c r="P7" s="1"/>
  <c r="G6"/>
  <c r="J6" s="1"/>
  <c r="F7" i="857"/>
  <c r="F98" s="1"/>
  <c r="E7"/>
  <c r="M98"/>
  <c r="K98"/>
  <c r="H98"/>
  <c r="E98"/>
  <c r="D98"/>
  <c r="P97"/>
  <c r="L97"/>
  <c r="O97" s="1"/>
  <c r="J97"/>
  <c r="G97"/>
  <c r="J96"/>
  <c r="P96" s="1"/>
  <c r="G96"/>
  <c r="V95"/>
  <c r="J95"/>
  <c r="L95" s="1"/>
  <c r="O95" s="1"/>
  <c r="G95"/>
  <c r="V94"/>
  <c r="J94"/>
  <c r="P94" s="1"/>
  <c r="G94"/>
  <c r="V93"/>
  <c r="J93"/>
  <c r="L93" s="1"/>
  <c r="O93" s="1"/>
  <c r="G93"/>
  <c r="L92"/>
  <c r="O92" s="1"/>
  <c r="J92"/>
  <c r="P92" s="1"/>
  <c r="G92"/>
  <c r="J91"/>
  <c r="P91" s="1"/>
  <c r="G91"/>
  <c r="V90"/>
  <c r="J90"/>
  <c r="L90" s="1"/>
  <c r="O90" s="1"/>
  <c r="G90"/>
  <c r="V89"/>
  <c r="J89"/>
  <c r="P89" s="1"/>
  <c r="G89"/>
  <c r="V88"/>
  <c r="J88"/>
  <c r="L88" s="1"/>
  <c r="O88" s="1"/>
  <c r="G88"/>
  <c r="J87"/>
  <c r="P87" s="1"/>
  <c r="G87"/>
  <c r="V86"/>
  <c r="L86"/>
  <c r="O86" s="1"/>
  <c r="J86"/>
  <c r="P86" s="1"/>
  <c r="G86"/>
  <c r="V85"/>
  <c r="P85"/>
  <c r="J85"/>
  <c r="L85" s="1"/>
  <c r="O85" s="1"/>
  <c r="G85"/>
  <c r="J84"/>
  <c r="P84" s="1"/>
  <c r="G84"/>
  <c r="I98"/>
  <c r="G83"/>
  <c r="J83" s="1"/>
  <c r="R82"/>
  <c r="G82"/>
  <c r="J82" s="1"/>
  <c r="P82" s="1"/>
  <c r="R81"/>
  <c r="G81"/>
  <c r="J81" s="1"/>
  <c r="L81" s="1"/>
  <c r="O81" s="1"/>
  <c r="G80"/>
  <c r="J80" s="1"/>
  <c r="J79"/>
  <c r="P79" s="1"/>
  <c r="G79"/>
  <c r="V78"/>
  <c r="G78"/>
  <c r="J78" s="1"/>
  <c r="L78" s="1"/>
  <c r="O78" s="1"/>
  <c r="G77"/>
  <c r="J77" s="1"/>
  <c r="V76"/>
  <c r="G76"/>
  <c r="J76" s="1"/>
  <c r="J75"/>
  <c r="L75" s="1"/>
  <c r="O75" s="1"/>
  <c r="G75"/>
  <c r="G74"/>
  <c r="J74" s="1"/>
  <c r="G73"/>
  <c r="J73" s="1"/>
  <c r="P73" s="1"/>
  <c r="G72"/>
  <c r="J72" s="1"/>
  <c r="G71"/>
  <c r="J71" s="1"/>
  <c r="L71" s="1"/>
  <c r="O71" s="1"/>
  <c r="G70"/>
  <c r="J70" s="1"/>
  <c r="G69"/>
  <c r="J69" s="1"/>
  <c r="P69" s="1"/>
  <c r="V68"/>
  <c r="G68"/>
  <c r="J68" s="1"/>
  <c r="L68" s="1"/>
  <c r="O68" s="1"/>
  <c r="G67"/>
  <c r="J67" s="1"/>
  <c r="G66"/>
  <c r="J66" s="1"/>
  <c r="P66" s="1"/>
  <c r="G65"/>
  <c r="J65" s="1"/>
  <c r="V64"/>
  <c r="G64"/>
  <c r="J64" s="1"/>
  <c r="V63"/>
  <c r="G63"/>
  <c r="J63" s="1"/>
  <c r="R62"/>
  <c r="G62"/>
  <c r="J62" s="1"/>
  <c r="G61"/>
  <c r="J61" s="1"/>
  <c r="P61" s="1"/>
  <c r="V60"/>
  <c r="G60"/>
  <c r="J60" s="1"/>
  <c r="L60" s="1"/>
  <c r="O60" s="1"/>
  <c r="G59"/>
  <c r="J59" s="1"/>
  <c r="R58"/>
  <c r="G58"/>
  <c r="J58" s="1"/>
  <c r="V57"/>
  <c r="G57"/>
  <c r="J57" s="1"/>
  <c r="V56"/>
  <c r="G56"/>
  <c r="J56" s="1"/>
  <c r="G55"/>
  <c r="J55" s="1"/>
  <c r="L55" s="1"/>
  <c r="O55" s="1"/>
  <c r="G54"/>
  <c r="J54" s="1"/>
  <c r="G53"/>
  <c r="J53" s="1"/>
  <c r="P53" s="1"/>
  <c r="G52"/>
  <c r="J52" s="1"/>
  <c r="V51"/>
  <c r="G51"/>
  <c r="J51" s="1"/>
  <c r="G50"/>
  <c r="J50" s="1"/>
  <c r="P50" s="1"/>
  <c r="G49"/>
  <c r="J49" s="1"/>
  <c r="V48"/>
  <c r="G48"/>
  <c r="J48" s="1"/>
  <c r="V47"/>
  <c r="G47"/>
  <c r="J47" s="1"/>
  <c r="G46"/>
  <c r="J46" s="1"/>
  <c r="L46" s="1"/>
  <c r="O46" s="1"/>
  <c r="G45"/>
  <c r="J45" s="1"/>
  <c r="R44"/>
  <c r="G44"/>
  <c r="J44" s="1"/>
  <c r="G43"/>
  <c r="J43" s="1"/>
  <c r="L43" s="1"/>
  <c r="O43" s="1"/>
  <c r="G42"/>
  <c r="J42" s="1"/>
  <c r="V41"/>
  <c r="G41"/>
  <c r="J41" s="1"/>
  <c r="G40"/>
  <c r="J40" s="1"/>
  <c r="L40" s="1"/>
  <c r="O40" s="1"/>
  <c r="V39"/>
  <c r="G39"/>
  <c r="J39" s="1"/>
  <c r="P39" s="1"/>
  <c r="V38"/>
  <c r="G38"/>
  <c r="J38" s="1"/>
  <c r="L38" s="1"/>
  <c r="O38" s="1"/>
  <c r="G37"/>
  <c r="J37" s="1"/>
  <c r="G36"/>
  <c r="J36" s="1"/>
  <c r="P36" s="1"/>
  <c r="V35"/>
  <c r="G35"/>
  <c r="J35" s="1"/>
  <c r="L35" s="1"/>
  <c r="O35" s="1"/>
  <c r="G34"/>
  <c r="J34" s="1"/>
  <c r="G33"/>
  <c r="J33" s="1"/>
  <c r="P33" s="1"/>
  <c r="G32"/>
  <c r="J32" s="1"/>
  <c r="G31"/>
  <c r="J31" s="1"/>
  <c r="L31" s="1"/>
  <c r="O31" s="1"/>
  <c r="G30"/>
  <c r="J30" s="1"/>
  <c r="G29"/>
  <c r="J29" s="1"/>
  <c r="P29" s="1"/>
  <c r="G28"/>
  <c r="J28" s="1"/>
  <c r="G27"/>
  <c r="J27" s="1"/>
  <c r="L27" s="1"/>
  <c r="O27" s="1"/>
  <c r="G26"/>
  <c r="J26" s="1"/>
  <c r="G25"/>
  <c r="J25" s="1"/>
  <c r="P25" s="1"/>
  <c r="G24"/>
  <c r="J24" s="1"/>
  <c r="G23"/>
  <c r="J23" s="1"/>
  <c r="L23" s="1"/>
  <c r="O23" s="1"/>
  <c r="R22"/>
  <c r="G22"/>
  <c r="J22" s="1"/>
  <c r="P22" s="1"/>
  <c r="G21"/>
  <c r="J21" s="1"/>
  <c r="J20"/>
  <c r="L20" s="1"/>
  <c r="O20" s="1"/>
  <c r="G20"/>
  <c r="G19"/>
  <c r="J19" s="1"/>
  <c r="J18"/>
  <c r="P18" s="1"/>
  <c r="G18"/>
  <c r="G17"/>
  <c r="J17" s="1"/>
  <c r="G16"/>
  <c r="J16" s="1"/>
  <c r="L16" s="1"/>
  <c r="O16" s="1"/>
  <c r="G15"/>
  <c r="J15" s="1"/>
  <c r="G14"/>
  <c r="J14" s="1"/>
  <c r="P14" s="1"/>
  <c r="G13"/>
  <c r="J13" s="1"/>
  <c r="G12"/>
  <c r="J12" s="1"/>
  <c r="L12" s="1"/>
  <c r="O12" s="1"/>
  <c r="G11"/>
  <c r="J11" s="1"/>
  <c r="G10"/>
  <c r="J10" s="1"/>
  <c r="G9"/>
  <c r="J9" s="1"/>
  <c r="L9" s="1"/>
  <c r="O9" s="1"/>
  <c r="G8"/>
  <c r="J8" s="1"/>
  <c r="O98" i="870" l="1"/>
  <c r="Q98" s="1"/>
  <c r="Q6"/>
  <c r="Q98" i="865"/>
  <c r="O98" i="864"/>
  <c r="Q98" s="1"/>
  <c r="Q6"/>
  <c r="J6" i="863"/>
  <c r="G98"/>
  <c r="L98" i="862"/>
  <c r="O6"/>
  <c r="Q10"/>
  <c r="P98"/>
  <c r="P101" s="1"/>
  <c r="J98" i="861"/>
  <c r="P7"/>
  <c r="P98" s="1"/>
  <c r="P101" s="1"/>
  <c r="O98"/>
  <c r="L98"/>
  <c r="Q6"/>
  <c r="P98" i="860"/>
  <c r="P101" s="1"/>
  <c r="L98"/>
  <c r="Q10"/>
  <c r="Q6"/>
  <c r="O98"/>
  <c r="L97" i="859"/>
  <c r="O97" s="1"/>
  <c r="P33"/>
  <c r="L33"/>
  <c r="O33" s="1"/>
  <c r="P22"/>
  <c r="L22"/>
  <c r="O22" s="1"/>
  <c r="L82"/>
  <c r="O82" s="1"/>
  <c r="L94"/>
  <c r="O94" s="1"/>
  <c r="P50"/>
  <c r="L50"/>
  <c r="O50" s="1"/>
  <c r="P53"/>
  <c r="L53"/>
  <c r="O53" s="1"/>
  <c r="P36"/>
  <c r="L36"/>
  <c r="O36" s="1"/>
  <c r="P39"/>
  <c r="L39"/>
  <c r="O39" s="1"/>
  <c r="P25"/>
  <c r="L25"/>
  <c r="O25" s="1"/>
  <c r="P14"/>
  <c r="L14"/>
  <c r="O14" s="1"/>
  <c r="P61"/>
  <c r="L61"/>
  <c r="O61" s="1"/>
  <c r="P66"/>
  <c r="L66"/>
  <c r="O66" s="1"/>
  <c r="P69"/>
  <c r="L69"/>
  <c r="O69" s="1"/>
  <c r="P84"/>
  <c r="P91"/>
  <c r="P96"/>
  <c r="L85"/>
  <c r="O85" s="1"/>
  <c r="P86"/>
  <c r="L87"/>
  <c r="O87" s="1"/>
  <c r="L92"/>
  <c r="O92" s="1"/>
  <c r="L9"/>
  <c r="O9" s="1"/>
  <c r="L18"/>
  <c r="O18" s="1"/>
  <c r="L29"/>
  <c r="O29" s="1"/>
  <c r="L73"/>
  <c r="O73" s="1"/>
  <c r="L79"/>
  <c r="O79" s="1"/>
  <c r="P24"/>
  <c r="L24"/>
  <c r="O24" s="1"/>
  <c r="P35"/>
  <c r="L35"/>
  <c r="O35" s="1"/>
  <c r="P47"/>
  <c r="L47"/>
  <c r="O47" s="1"/>
  <c r="P52"/>
  <c r="L52"/>
  <c r="O52" s="1"/>
  <c r="L60"/>
  <c r="O60" s="1"/>
  <c r="P60"/>
  <c r="P63"/>
  <c r="L63"/>
  <c r="O63" s="1"/>
  <c r="P8"/>
  <c r="L8"/>
  <c r="O8" s="1"/>
  <c r="L12"/>
  <c r="O12" s="1"/>
  <c r="P12"/>
  <c r="P17"/>
  <c r="L17"/>
  <c r="O17" s="1"/>
  <c r="L38"/>
  <c r="O38" s="1"/>
  <c r="P38"/>
  <c r="L46"/>
  <c r="O46" s="1"/>
  <c r="P46"/>
  <c r="P56"/>
  <c r="L56"/>
  <c r="O56" s="1"/>
  <c r="J6"/>
  <c r="G98"/>
  <c r="L20"/>
  <c r="O20" s="1"/>
  <c r="P20"/>
  <c r="L31"/>
  <c r="O31" s="1"/>
  <c r="P31"/>
  <c r="P40"/>
  <c r="L40"/>
  <c r="O40" s="1"/>
  <c r="P49"/>
  <c r="L49"/>
  <c r="O49" s="1"/>
  <c r="P65"/>
  <c r="L65"/>
  <c r="O65" s="1"/>
  <c r="L75"/>
  <c r="O75" s="1"/>
  <c r="P75"/>
  <c r="L81"/>
  <c r="O81" s="1"/>
  <c r="P81"/>
  <c r="P13"/>
  <c r="L13"/>
  <c r="O13" s="1"/>
  <c r="P58"/>
  <c r="L58"/>
  <c r="O58" s="1"/>
  <c r="P10"/>
  <c r="L10"/>
  <c r="O10" s="1"/>
  <c r="L23"/>
  <c r="O23" s="1"/>
  <c r="P23"/>
  <c r="P28"/>
  <c r="L28"/>
  <c r="O28" s="1"/>
  <c r="P44"/>
  <c r="L44"/>
  <c r="O44" s="1"/>
  <c r="P68"/>
  <c r="L68"/>
  <c r="O68" s="1"/>
  <c r="P72"/>
  <c r="L72"/>
  <c r="O72" s="1"/>
  <c r="L83"/>
  <c r="O83" s="1"/>
  <c r="P83"/>
  <c r="L7"/>
  <c r="O7" s="1"/>
  <c r="P7"/>
  <c r="L16"/>
  <c r="O16" s="1"/>
  <c r="P16"/>
  <c r="P21"/>
  <c r="L21"/>
  <c r="O21" s="1"/>
  <c r="L27"/>
  <c r="O27" s="1"/>
  <c r="P27"/>
  <c r="P32"/>
  <c r="L32"/>
  <c r="O32" s="1"/>
  <c r="P41"/>
  <c r="L41"/>
  <c r="O41" s="1"/>
  <c r="P43"/>
  <c r="L43"/>
  <c r="O43" s="1"/>
  <c r="L55"/>
  <c r="O55" s="1"/>
  <c r="P55"/>
  <c r="L71"/>
  <c r="O71" s="1"/>
  <c r="P71"/>
  <c r="P76"/>
  <c r="L76"/>
  <c r="O76" s="1"/>
  <c r="P78"/>
  <c r="L78"/>
  <c r="O78" s="1"/>
  <c r="P26"/>
  <c r="P34"/>
  <c r="P37"/>
  <c r="P42"/>
  <c r="P48"/>
  <c r="P51"/>
  <c r="P54"/>
  <c r="P57"/>
  <c r="P59"/>
  <c r="P62"/>
  <c r="P64"/>
  <c r="P67"/>
  <c r="P70"/>
  <c r="P74"/>
  <c r="P80"/>
  <c r="P88"/>
  <c r="P90"/>
  <c r="P93"/>
  <c r="P95"/>
  <c r="P11"/>
  <c r="P15"/>
  <c r="P19"/>
  <c r="P30"/>
  <c r="P45"/>
  <c r="P77"/>
  <c r="L10" i="858"/>
  <c r="O10" s="1"/>
  <c r="Q10" s="1"/>
  <c r="L12"/>
  <c r="O12" s="1"/>
  <c r="L27"/>
  <c r="O27" s="1"/>
  <c r="L84"/>
  <c r="O84" s="1"/>
  <c r="L13"/>
  <c r="O13" s="1"/>
  <c r="L28"/>
  <c r="O28" s="1"/>
  <c r="L93"/>
  <c r="O93" s="1"/>
  <c r="L94"/>
  <c r="O94" s="1"/>
  <c r="L95"/>
  <c r="O95" s="1"/>
  <c r="P41"/>
  <c r="L41"/>
  <c r="O41" s="1"/>
  <c r="P78"/>
  <c r="L78"/>
  <c r="O78" s="1"/>
  <c r="P49"/>
  <c r="L49"/>
  <c r="O49" s="1"/>
  <c r="P20"/>
  <c r="L20"/>
  <c r="O20" s="1"/>
  <c r="L9"/>
  <c r="O9" s="1"/>
  <c r="L21"/>
  <c r="O21" s="1"/>
  <c r="L35"/>
  <c r="O35" s="1"/>
  <c r="L75"/>
  <c r="O75" s="1"/>
  <c r="L76"/>
  <c r="O76" s="1"/>
  <c r="L81"/>
  <c r="O81" s="1"/>
  <c r="L86"/>
  <c r="O86" s="1"/>
  <c r="P23"/>
  <c r="L23"/>
  <c r="O23" s="1"/>
  <c r="P17"/>
  <c r="L17"/>
  <c r="O17" s="1"/>
  <c r="P47"/>
  <c r="L47"/>
  <c r="O47" s="1"/>
  <c r="P16"/>
  <c r="L16"/>
  <c r="O16" s="1"/>
  <c r="P32"/>
  <c r="L32"/>
  <c r="O32" s="1"/>
  <c r="P46"/>
  <c r="L46"/>
  <c r="O46" s="1"/>
  <c r="P24"/>
  <c r="L24"/>
  <c r="O24" s="1"/>
  <c r="P31"/>
  <c r="L31"/>
  <c r="O31" s="1"/>
  <c r="P58"/>
  <c r="L58"/>
  <c r="O58" s="1"/>
  <c r="L43"/>
  <c r="O43" s="1"/>
  <c r="L44"/>
  <c r="O44" s="1"/>
  <c r="L55"/>
  <c r="O55" s="1"/>
  <c r="L56"/>
  <c r="O56" s="1"/>
  <c r="L63"/>
  <c r="O63" s="1"/>
  <c r="L68"/>
  <c r="O68" s="1"/>
  <c r="L71"/>
  <c r="O71" s="1"/>
  <c r="L72"/>
  <c r="O72" s="1"/>
  <c r="L88"/>
  <c r="O88" s="1"/>
  <c r="L91"/>
  <c r="O91" s="1"/>
  <c r="J98"/>
  <c r="G98"/>
  <c r="L74"/>
  <c r="O74" s="1"/>
  <c r="P74"/>
  <c r="L15"/>
  <c r="O15" s="1"/>
  <c r="P15"/>
  <c r="L45"/>
  <c r="O45" s="1"/>
  <c r="P45"/>
  <c r="L51"/>
  <c r="O51" s="1"/>
  <c r="P51"/>
  <c r="L57"/>
  <c r="O57" s="1"/>
  <c r="P57"/>
  <c r="L64"/>
  <c r="O64" s="1"/>
  <c r="P64"/>
  <c r="L42"/>
  <c r="O42" s="1"/>
  <c r="P42"/>
  <c r="L54"/>
  <c r="O54" s="1"/>
  <c r="P54"/>
  <c r="L8"/>
  <c r="O8" s="1"/>
  <c r="P8"/>
  <c r="L11"/>
  <c r="O11" s="1"/>
  <c r="P11"/>
  <c r="L19"/>
  <c r="O19" s="1"/>
  <c r="P19"/>
  <c r="L26"/>
  <c r="O26" s="1"/>
  <c r="P26"/>
  <c r="L34"/>
  <c r="O34" s="1"/>
  <c r="P34"/>
  <c r="L37"/>
  <c r="O37" s="1"/>
  <c r="P37"/>
  <c r="L59"/>
  <c r="O59" s="1"/>
  <c r="P59"/>
  <c r="L62"/>
  <c r="O62" s="1"/>
  <c r="P62"/>
  <c r="L77"/>
  <c r="O77" s="1"/>
  <c r="P77"/>
  <c r="L80"/>
  <c r="O80" s="1"/>
  <c r="P80"/>
  <c r="L48"/>
  <c r="O48" s="1"/>
  <c r="P48"/>
  <c r="L30"/>
  <c r="O30" s="1"/>
  <c r="P30"/>
  <c r="L67"/>
  <c r="O67" s="1"/>
  <c r="P67"/>
  <c r="L70"/>
  <c r="O70" s="1"/>
  <c r="P70"/>
  <c r="P6"/>
  <c r="P18"/>
  <c r="P29"/>
  <c r="P36"/>
  <c r="P39"/>
  <c r="P50"/>
  <c r="P66"/>
  <c r="P69"/>
  <c r="P73"/>
  <c r="P87"/>
  <c r="P92"/>
  <c r="P97"/>
  <c r="L6"/>
  <c r="L7"/>
  <c r="O7" s="1"/>
  <c r="L14"/>
  <c r="O14" s="1"/>
  <c r="L22"/>
  <c r="O22" s="1"/>
  <c r="L25"/>
  <c r="O25" s="1"/>
  <c r="L33"/>
  <c r="O33" s="1"/>
  <c r="L53"/>
  <c r="O53" s="1"/>
  <c r="L61"/>
  <c r="O61" s="1"/>
  <c r="L79"/>
  <c r="O79" s="1"/>
  <c r="L82"/>
  <c r="O82" s="1"/>
  <c r="L85"/>
  <c r="O85" s="1"/>
  <c r="G7" i="857"/>
  <c r="J7" s="1"/>
  <c r="P7" s="1"/>
  <c r="L87"/>
  <c r="O87" s="1"/>
  <c r="P15"/>
  <c r="L15"/>
  <c r="O15" s="1"/>
  <c r="P30"/>
  <c r="L30"/>
  <c r="O30" s="1"/>
  <c r="P37"/>
  <c r="L37"/>
  <c r="O37" s="1"/>
  <c r="P45"/>
  <c r="L45"/>
  <c r="O45" s="1"/>
  <c r="L52"/>
  <c r="O52" s="1"/>
  <c r="P52"/>
  <c r="P57"/>
  <c r="L57"/>
  <c r="O57" s="1"/>
  <c r="P59"/>
  <c r="L59"/>
  <c r="O59" s="1"/>
  <c r="L63"/>
  <c r="O63" s="1"/>
  <c r="P63"/>
  <c r="L65"/>
  <c r="O65" s="1"/>
  <c r="P65"/>
  <c r="L72"/>
  <c r="O72" s="1"/>
  <c r="P72"/>
  <c r="P77"/>
  <c r="L77"/>
  <c r="O77" s="1"/>
  <c r="L17"/>
  <c r="O17" s="1"/>
  <c r="P17"/>
  <c r="L24"/>
  <c r="O24" s="1"/>
  <c r="P24"/>
  <c r="L32"/>
  <c r="O32" s="1"/>
  <c r="P32"/>
  <c r="P42"/>
  <c r="L42"/>
  <c r="O42" s="1"/>
  <c r="L47"/>
  <c r="O47" s="1"/>
  <c r="P47"/>
  <c r="L49"/>
  <c r="O49" s="1"/>
  <c r="P49"/>
  <c r="P54"/>
  <c r="L54"/>
  <c r="O54" s="1"/>
  <c r="P67"/>
  <c r="L67"/>
  <c r="O67" s="1"/>
  <c r="P74"/>
  <c r="L74"/>
  <c r="O74" s="1"/>
  <c r="P8"/>
  <c r="L8"/>
  <c r="O8" s="1"/>
  <c r="P11"/>
  <c r="L11"/>
  <c r="O11" s="1"/>
  <c r="P19"/>
  <c r="L19"/>
  <c r="O19" s="1"/>
  <c r="P26"/>
  <c r="L26"/>
  <c r="O26" s="1"/>
  <c r="P34"/>
  <c r="L34"/>
  <c r="O34" s="1"/>
  <c r="L44"/>
  <c r="O44" s="1"/>
  <c r="P44"/>
  <c r="P51"/>
  <c r="L51"/>
  <c r="O51" s="1"/>
  <c r="L56"/>
  <c r="O56" s="1"/>
  <c r="P56"/>
  <c r="L58"/>
  <c r="O58" s="1"/>
  <c r="P58"/>
  <c r="P62"/>
  <c r="L62"/>
  <c r="O62" s="1"/>
  <c r="P64"/>
  <c r="L64"/>
  <c r="O64" s="1"/>
  <c r="L76"/>
  <c r="O76" s="1"/>
  <c r="P76"/>
  <c r="P80"/>
  <c r="L80"/>
  <c r="O80" s="1"/>
  <c r="L10"/>
  <c r="O10" s="1"/>
  <c r="P10"/>
  <c r="L13"/>
  <c r="O13" s="1"/>
  <c r="P13"/>
  <c r="L21"/>
  <c r="O21" s="1"/>
  <c r="P21"/>
  <c r="L28"/>
  <c r="O28" s="1"/>
  <c r="P28"/>
  <c r="L41"/>
  <c r="O41" s="1"/>
  <c r="P41"/>
  <c r="P48"/>
  <c r="L48"/>
  <c r="O48" s="1"/>
  <c r="P70"/>
  <c r="L70"/>
  <c r="O70" s="1"/>
  <c r="L83"/>
  <c r="O83" s="1"/>
  <c r="P83"/>
  <c r="G6"/>
  <c r="P9"/>
  <c r="P12"/>
  <c r="L14"/>
  <c r="O14" s="1"/>
  <c r="P16"/>
  <c r="L18"/>
  <c r="O18" s="1"/>
  <c r="P20"/>
  <c r="L22"/>
  <c r="O22" s="1"/>
  <c r="P23"/>
  <c r="L25"/>
  <c r="O25" s="1"/>
  <c r="P27"/>
  <c r="L29"/>
  <c r="O29" s="1"/>
  <c r="P31"/>
  <c r="L33"/>
  <c r="O33" s="1"/>
  <c r="P35"/>
  <c r="L36"/>
  <c r="O36" s="1"/>
  <c r="P38"/>
  <c r="L39"/>
  <c r="O39" s="1"/>
  <c r="P40"/>
  <c r="P43"/>
  <c r="P46"/>
  <c r="L50"/>
  <c r="O50" s="1"/>
  <c r="L53"/>
  <c r="O53" s="1"/>
  <c r="P55"/>
  <c r="P60"/>
  <c r="L61"/>
  <c r="O61" s="1"/>
  <c r="L66"/>
  <c r="O66" s="1"/>
  <c r="P68"/>
  <c r="L69"/>
  <c r="O69" s="1"/>
  <c r="P71"/>
  <c r="L73"/>
  <c r="O73" s="1"/>
  <c r="P75"/>
  <c r="P78"/>
  <c r="L79"/>
  <c r="O79" s="1"/>
  <c r="P81"/>
  <c r="L82"/>
  <c r="O82" s="1"/>
  <c r="L84"/>
  <c r="O84" s="1"/>
  <c r="P88"/>
  <c r="L89"/>
  <c r="O89" s="1"/>
  <c r="P90"/>
  <c r="L91"/>
  <c r="O91" s="1"/>
  <c r="P93"/>
  <c r="L94"/>
  <c r="O94" s="1"/>
  <c r="P95"/>
  <c r="L96"/>
  <c r="O96" s="1"/>
  <c r="J98" i="863" l="1"/>
  <c r="P6"/>
  <c r="P98" s="1"/>
  <c r="P101" s="1"/>
  <c r="L6"/>
  <c r="O98" i="862"/>
  <c r="Q98" s="1"/>
  <c r="Q6"/>
  <c r="Q98" i="861"/>
  <c r="Q98" i="860"/>
  <c r="Q10" i="859"/>
  <c r="J98"/>
  <c r="L6"/>
  <c r="P6"/>
  <c r="P98" s="1"/>
  <c r="P101" s="1"/>
  <c r="O6" i="858"/>
  <c r="L98"/>
  <c r="P98"/>
  <c r="P101" s="1"/>
  <c r="L7" i="857"/>
  <c r="O7" s="1"/>
  <c r="G98"/>
  <c r="J6"/>
  <c r="Q10"/>
  <c r="L98" i="863" l="1"/>
  <c r="O6"/>
  <c r="O6" i="859"/>
  <c r="L98"/>
  <c r="O98" i="858"/>
  <c r="Q98" s="1"/>
  <c r="Q6"/>
  <c r="J98" i="857"/>
  <c r="L6"/>
  <c r="P6"/>
  <c r="P98" s="1"/>
  <c r="P101" s="1"/>
  <c r="O98" i="863" l="1"/>
  <c r="Q98" s="1"/>
  <c r="Q6"/>
  <c r="O98" i="859"/>
  <c r="Q98" s="1"/>
  <c r="Q6"/>
  <c r="O6" i="857"/>
  <c r="L98"/>
  <c r="O98" l="1"/>
  <c r="Q98" s="1"/>
  <c r="Q6"/>
  <c r="H7" i="504" l="1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I6"/>
  <c r="H6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6"/>
  <c r="E91"/>
  <c r="E92"/>
  <c r="E93"/>
  <c r="E94"/>
  <c r="E9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6"/>
  <c r="G93" l="1"/>
  <c r="J94"/>
  <c r="F7"/>
  <c r="J93"/>
  <c r="J89"/>
  <c r="J90"/>
  <c r="J91"/>
  <c r="J92"/>
  <c r="J95"/>
  <c r="G94"/>
  <c r="G95"/>
  <c r="G92"/>
  <c r="G7" l="1"/>
  <c r="G16"/>
  <c r="G26"/>
  <c r="G32"/>
  <c r="G34"/>
  <c r="G40"/>
  <c r="G70"/>
  <c r="G82"/>
  <c r="G22"/>
  <c r="G78"/>
  <c r="J88"/>
  <c r="I97"/>
  <c r="F97"/>
  <c r="D97"/>
  <c r="K72"/>
  <c r="G49"/>
  <c r="K40"/>
  <c r="K29"/>
  <c r="K16"/>
  <c r="K15"/>
  <c r="K12"/>
  <c r="K10"/>
  <c r="K6"/>
  <c r="K97" s="1"/>
  <c r="J78" l="1"/>
  <c r="L78" s="1"/>
  <c r="J82"/>
  <c r="L82" s="1"/>
  <c r="J34"/>
  <c r="L34" s="1"/>
  <c r="J26"/>
  <c r="L26" s="1"/>
  <c r="L92"/>
  <c r="L90"/>
  <c r="J86"/>
  <c r="L86" s="1"/>
  <c r="J84"/>
  <c r="L84" s="1"/>
  <c r="J40"/>
  <c r="L40" s="1"/>
  <c r="J32"/>
  <c r="L32" s="1"/>
  <c r="J16"/>
  <c r="L16" s="1"/>
  <c r="G68"/>
  <c r="J68" s="1"/>
  <c r="L68" s="1"/>
  <c r="G60"/>
  <c r="J60" s="1"/>
  <c r="L60" s="1"/>
  <c r="G52"/>
  <c r="J52" s="1"/>
  <c r="L52" s="1"/>
  <c r="G44"/>
  <c r="J44" s="1"/>
  <c r="L44" s="1"/>
  <c r="G20"/>
  <c r="J20" s="1"/>
  <c r="L20" s="1"/>
  <c r="G81"/>
  <c r="J81" s="1"/>
  <c r="L81" s="1"/>
  <c r="G77"/>
  <c r="J77" s="1"/>
  <c r="L77" s="1"/>
  <c r="G73"/>
  <c r="J73" s="1"/>
  <c r="L73" s="1"/>
  <c r="G69"/>
  <c r="J69" s="1"/>
  <c r="L69" s="1"/>
  <c r="G65"/>
  <c r="J65" s="1"/>
  <c r="L65" s="1"/>
  <c r="G61"/>
  <c r="J61" s="1"/>
  <c r="L61" s="1"/>
  <c r="G57"/>
  <c r="J57" s="1"/>
  <c r="L57" s="1"/>
  <c r="G53"/>
  <c r="J53" s="1"/>
  <c r="L53" s="1"/>
  <c r="G45"/>
  <c r="J45" s="1"/>
  <c r="L45" s="1"/>
  <c r="G41"/>
  <c r="J41" s="1"/>
  <c r="L41" s="1"/>
  <c r="G33"/>
  <c r="J33" s="1"/>
  <c r="L33" s="1"/>
  <c r="G29"/>
  <c r="J29" s="1"/>
  <c r="L29" s="1"/>
  <c r="G21"/>
  <c r="J21" s="1"/>
  <c r="L21" s="1"/>
  <c r="G17"/>
  <c r="J17" s="1"/>
  <c r="L17" s="1"/>
  <c r="G13"/>
  <c r="J13" s="1"/>
  <c r="L13" s="1"/>
  <c r="G9"/>
  <c r="J9" s="1"/>
  <c r="L9" s="1"/>
  <c r="G88"/>
  <c r="G76"/>
  <c r="J76" s="1"/>
  <c r="L76" s="1"/>
  <c r="G72"/>
  <c r="J72" s="1"/>
  <c r="L72" s="1"/>
  <c r="G64"/>
  <c r="J64" s="1"/>
  <c r="L64" s="1"/>
  <c r="G56"/>
  <c r="J56" s="1"/>
  <c r="L56" s="1"/>
  <c r="G48"/>
  <c r="J48" s="1"/>
  <c r="L48" s="1"/>
  <c r="G28"/>
  <c r="J28" s="1"/>
  <c r="L28" s="1"/>
  <c r="G24"/>
  <c r="J24" s="1"/>
  <c r="L24" s="1"/>
  <c r="G89"/>
  <c r="G85"/>
  <c r="G37"/>
  <c r="J37" s="1"/>
  <c r="L37" s="1"/>
  <c r="G25"/>
  <c r="J25" s="1"/>
  <c r="L25" s="1"/>
  <c r="G14"/>
  <c r="J14" s="1"/>
  <c r="L14" s="1"/>
  <c r="G84"/>
  <c r="G80"/>
  <c r="J80" s="1"/>
  <c r="L80" s="1"/>
  <c r="G36"/>
  <c r="J36" s="1"/>
  <c r="L36" s="1"/>
  <c r="G12"/>
  <c r="J12" s="1"/>
  <c r="L12" s="1"/>
  <c r="G8"/>
  <c r="J8" s="1"/>
  <c r="L8" s="1"/>
  <c r="L89"/>
  <c r="J85"/>
  <c r="L85" s="1"/>
  <c r="H97"/>
  <c r="G90"/>
  <c r="G86"/>
  <c r="G74"/>
  <c r="J74" s="1"/>
  <c r="L74" s="1"/>
  <c r="G66"/>
  <c r="J66" s="1"/>
  <c r="L66" s="1"/>
  <c r="G62"/>
  <c r="J62" s="1"/>
  <c r="L62" s="1"/>
  <c r="G58"/>
  <c r="J58" s="1"/>
  <c r="L58" s="1"/>
  <c r="G54"/>
  <c r="J54" s="1"/>
  <c r="L54" s="1"/>
  <c r="G50"/>
  <c r="J50" s="1"/>
  <c r="L50" s="1"/>
  <c r="G46"/>
  <c r="J46" s="1"/>
  <c r="L46" s="1"/>
  <c r="G42"/>
  <c r="J42" s="1"/>
  <c r="L42" s="1"/>
  <c r="G38"/>
  <c r="J38" s="1"/>
  <c r="L38" s="1"/>
  <c r="G30"/>
  <c r="J30" s="1"/>
  <c r="L30" s="1"/>
  <c r="G18"/>
  <c r="J18" s="1"/>
  <c r="L18" s="1"/>
  <c r="G10"/>
  <c r="J10" s="1"/>
  <c r="L10" s="1"/>
  <c r="G71"/>
  <c r="J71" s="1"/>
  <c r="L71" s="1"/>
  <c r="G55"/>
  <c r="J55" s="1"/>
  <c r="L55" s="1"/>
  <c r="G51"/>
  <c r="J51" s="1"/>
  <c r="L51" s="1"/>
  <c r="G27"/>
  <c r="J27" s="1"/>
  <c r="L27" s="1"/>
  <c r="G23"/>
  <c r="J23" s="1"/>
  <c r="L23" s="1"/>
  <c r="J49"/>
  <c r="L49" s="1"/>
  <c r="J7"/>
  <c r="L7" s="1"/>
  <c r="J22"/>
  <c r="L22" s="1"/>
  <c r="J70"/>
  <c r="L70" s="1"/>
  <c r="G91"/>
  <c r="G87"/>
  <c r="G83"/>
  <c r="J83" s="1"/>
  <c r="L83" s="1"/>
  <c r="G79"/>
  <c r="J79" s="1"/>
  <c r="L79" s="1"/>
  <c r="G75"/>
  <c r="J75" s="1"/>
  <c r="L75" s="1"/>
  <c r="G67"/>
  <c r="J67" s="1"/>
  <c r="L67" s="1"/>
  <c r="G63"/>
  <c r="J63" s="1"/>
  <c r="L63" s="1"/>
  <c r="G59"/>
  <c r="J59" s="1"/>
  <c r="L59" s="1"/>
  <c r="G47"/>
  <c r="J47" s="1"/>
  <c r="L47" s="1"/>
  <c r="G43"/>
  <c r="J43" s="1"/>
  <c r="L43" s="1"/>
  <c r="G39"/>
  <c r="J39" s="1"/>
  <c r="L39" s="1"/>
  <c r="G35"/>
  <c r="J35" s="1"/>
  <c r="L35" s="1"/>
  <c r="G31"/>
  <c r="J31" s="1"/>
  <c r="L31" s="1"/>
  <c r="G19"/>
  <c r="J19" s="1"/>
  <c r="L19" s="1"/>
  <c r="G15"/>
  <c r="J15" s="1"/>
  <c r="L15" s="1"/>
  <c r="G11"/>
  <c r="J11" s="1"/>
  <c r="L11" s="1"/>
  <c r="J87"/>
  <c r="L87" s="1"/>
  <c r="L91"/>
  <c r="E97"/>
  <c r="G6"/>
  <c r="L88"/>
  <c r="G97" l="1"/>
  <c r="J6"/>
  <c r="L6" s="1"/>
  <c r="P100"/>
  <c r="J97" l="1"/>
  <c r="L97"/>
</calcChain>
</file>

<file path=xl/sharedStrings.xml><?xml version="1.0" encoding="utf-8"?>
<sst xmlns="http://schemas.openxmlformats.org/spreadsheetml/2006/main" count="3807" uniqueCount="165">
  <si>
    <t>Krishibid Feed Ltd.</t>
  </si>
  <si>
    <t>Nishinda, Bhaluka, Mymensingh</t>
  </si>
  <si>
    <t>Remarks</t>
  </si>
  <si>
    <t>Sl</t>
  </si>
  <si>
    <t>Materials Name</t>
  </si>
  <si>
    <t>Received</t>
  </si>
  <si>
    <t>Bag wt.</t>
  </si>
  <si>
    <t>Issue</t>
  </si>
  <si>
    <t>Wheat Flour</t>
  </si>
  <si>
    <t>Meat &amp; Bone Meal</t>
  </si>
  <si>
    <t>Salt</t>
  </si>
  <si>
    <t>Fish Meal</t>
  </si>
  <si>
    <t>Pellet Binder</t>
  </si>
  <si>
    <t>Rape Seed Cake</t>
  </si>
  <si>
    <t>DDGS</t>
  </si>
  <si>
    <t>Dry Fish</t>
  </si>
  <si>
    <t>Fish Oil</t>
  </si>
  <si>
    <t>Maize</t>
  </si>
  <si>
    <t>Molasses</t>
  </si>
  <si>
    <t>Poultry Meal</t>
  </si>
  <si>
    <t>Rice Polish (A)</t>
  </si>
  <si>
    <t>Til Khoil</t>
  </si>
  <si>
    <t>Micromix 3B</t>
  </si>
  <si>
    <t>Molasses (Dried)</t>
  </si>
  <si>
    <t>Toxin Binder</t>
  </si>
  <si>
    <t>Urea fertilizer</t>
  </si>
  <si>
    <t>Diesel</t>
  </si>
  <si>
    <t>Group</t>
  </si>
  <si>
    <t>RM Materials</t>
  </si>
  <si>
    <t>Medicine</t>
  </si>
  <si>
    <t>Daily Raw-Materials  Stock Report</t>
  </si>
  <si>
    <t>Soyabean Meal</t>
  </si>
  <si>
    <t>DORB</t>
  </si>
  <si>
    <t>Full Fat Soya</t>
  </si>
  <si>
    <t>Maize Gluten Meal (CGM)</t>
  </si>
  <si>
    <t>Prepared By:</t>
  </si>
  <si>
    <t>Sr. Asst. Manager (Store)</t>
  </si>
  <si>
    <t>DCOO</t>
  </si>
  <si>
    <t>Khashari Bosi</t>
  </si>
  <si>
    <t>Mosari Bosi</t>
  </si>
  <si>
    <t>Al-Phamune/ Grothpromoter/ Agrimos</t>
  </si>
  <si>
    <t>Anti Oxidant</t>
  </si>
  <si>
    <t>Broiler Feedmix</t>
  </si>
  <si>
    <t>Broiler Minarel</t>
  </si>
  <si>
    <t>Broiler Vitamin</t>
  </si>
  <si>
    <t>Cattle Premix</t>
  </si>
  <si>
    <t>Choline Chloride</t>
  </si>
  <si>
    <t>Citric acid</t>
  </si>
  <si>
    <t>Compund fish premix(hinter)</t>
  </si>
  <si>
    <t>DECOQUINATE</t>
  </si>
  <si>
    <t>DL-Methionine</t>
  </si>
  <si>
    <t>Flavour (Fish) Bigarol Tuna</t>
  </si>
  <si>
    <t>ImmunoWall</t>
  </si>
  <si>
    <t>L-Theonine</t>
  </si>
  <si>
    <t>LAYER VITAMIN</t>
  </si>
  <si>
    <t>Lysine</t>
  </si>
  <si>
    <t>Maduramycine</t>
  </si>
  <si>
    <t>Magnasium oxide</t>
  </si>
  <si>
    <t>Micofung/Moid Inhabitor</t>
  </si>
  <si>
    <t>Mono calcium Phosphate /M.C.P</t>
  </si>
  <si>
    <t>Phytase/Natuphos</t>
  </si>
  <si>
    <t>Robenidine (HCL)</t>
  </si>
  <si>
    <t>Sodium-Bi-Carbonate</t>
  </si>
  <si>
    <t>Uni-mannanase</t>
  </si>
  <si>
    <t>XAP/Robaviotic</t>
  </si>
  <si>
    <t>ZYMPEX-008</t>
  </si>
  <si>
    <t>Asst. Manager (Production)</t>
  </si>
  <si>
    <t>Software Opening Balance (KG)</t>
  </si>
  <si>
    <t>Software Total</t>
  </si>
  <si>
    <t>Software Closing  Balance (KG)</t>
  </si>
  <si>
    <t>Variance (Software &amp; Physical)</t>
  </si>
  <si>
    <t>Intest Plus</t>
  </si>
  <si>
    <t>Lime Stone (Pawder)</t>
  </si>
  <si>
    <t>Maskali</t>
  </si>
  <si>
    <t>Master Oil Cake</t>
  </si>
  <si>
    <t>Urgent</t>
  </si>
  <si>
    <t>L Tryptophan</t>
  </si>
  <si>
    <t>L - Valine</t>
  </si>
  <si>
    <t>Physical Balance</t>
  </si>
  <si>
    <t>Animal Oil</t>
  </si>
  <si>
    <t>Sales, Dust &amp; Others Use</t>
  </si>
  <si>
    <t>Nutikem XLP Plus Dry</t>
  </si>
  <si>
    <t>Zymyeast 100</t>
  </si>
  <si>
    <t>SGS DRY/ Mycrocurb Dry</t>
  </si>
  <si>
    <t>Sewing Thread</t>
  </si>
  <si>
    <t>Natupro</t>
  </si>
  <si>
    <t>Alquernat Zycox</t>
  </si>
  <si>
    <t>Allzyme Vegpro/Enzyme</t>
  </si>
  <si>
    <t>Soyabean Oil</t>
  </si>
  <si>
    <t>Palm Oil / Quality Super</t>
  </si>
  <si>
    <t>Wheat bam</t>
  </si>
  <si>
    <t>Lysoforte Dry</t>
  </si>
  <si>
    <t>Quantam Blue</t>
  </si>
  <si>
    <t>Kemtrace Broiler Dry</t>
  </si>
  <si>
    <t>Antamix ME</t>
  </si>
  <si>
    <t>Liposorb/Lipidol/Lipidin</t>
  </si>
  <si>
    <t>Lincomycin (Eurolinco)</t>
  </si>
  <si>
    <t>Gutcare</t>
  </si>
  <si>
    <t>Alqur Mold (Mold Inhabitor)</t>
  </si>
  <si>
    <t>Alqurernat Nebsui (G Prpmotor)</t>
  </si>
  <si>
    <t>Yaa Sacc</t>
  </si>
  <si>
    <t>Optigen</t>
  </si>
  <si>
    <t>Hemicell HT</t>
  </si>
  <si>
    <t>Moldkiller (Deruguard)</t>
  </si>
  <si>
    <t>Salstop</t>
  </si>
  <si>
    <t>Clostin Sulphate</t>
  </si>
  <si>
    <t>Feed Like</t>
  </si>
  <si>
    <t>Propac</t>
  </si>
  <si>
    <t xml:space="preserve">BMD </t>
  </si>
  <si>
    <t>Lime Stone Gurnular</t>
  </si>
  <si>
    <t>Sof Gross RM Additive Values</t>
  </si>
  <si>
    <t>rate</t>
  </si>
  <si>
    <t>Physical Balance Values</t>
  </si>
  <si>
    <t>Software Closing  Balance (KG) Values</t>
  </si>
  <si>
    <t xml:space="preserve"> Date:  30-Sept, 2018</t>
  </si>
  <si>
    <t>COO</t>
  </si>
  <si>
    <t>Elitox</t>
  </si>
  <si>
    <t>Butipearl</t>
  </si>
  <si>
    <t>Chromflex C Dry</t>
  </si>
  <si>
    <t>Lasalocid (Avatec)</t>
  </si>
  <si>
    <t>Stafac 110</t>
  </si>
  <si>
    <t>Biscuit</t>
  </si>
  <si>
    <t>Natufactant 250</t>
  </si>
  <si>
    <t>Mosari Bosi / Sugar</t>
  </si>
  <si>
    <t>Milk Boost</t>
  </si>
  <si>
    <t>Molistar</t>
  </si>
  <si>
    <t>CTCzyme</t>
  </si>
  <si>
    <t>Egg Extra</t>
  </si>
  <si>
    <t>Wheat bhusi</t>
  </si>
  <si>
    <t>Mycrocurb Dry</t>
  </si>
  <si>
    <t>Osmo Fat (Bargar Fat)</t>
  </si>
  <si>
    <t>Lyso -10</t>
  </si>
  <si>
    <t>Sigle Cell Protein</t>
  </si>
  <si>
    <t xml:space="preserve"> Date:  01-Oct, 2019</t>
  </si>
  <si>
    <t xml:space="preserve"> Date:  02-Oct, 2019</t>
  </si>
  <si>
    <t>Bigarol</t>
  </si>
  <si>
    <t xml:space="preserve"> Date:  03-Oct, 2019</t>
  </si>
  <si>
    <t xml:space="preserve"> Date:  04-Oct, 2019</t>
  </si>
  <si>
    <t xml:space="preserve"> Date:  05-Oct, 2019</t>
  </si>
  <si>
    <t xml:space="preserve"> Date:  06-Oct, 2019</t>
  </si>
  <si>
    <t xml:space="preserve"> Date:  07-Oct, 2019</t>
  </si>
  <si>
    <t xml:space="preserve"> Date:  08 Oct, 2019</t>
  </si>
  <si>
    <t>Chira Bhusi</t>
  </si>
  <si>
    <t xml:space="preserve"> Date:  09 Oct, 2019</t>
  </si>
  <si>
    <t xml:space="preserve"> Date:  10 Oct, 2019</t>
  </si>
  <si>
    <t xml:space="preserve"> Date:  11 Oct, 2019</t>
  </si>
  <si>
    <t xml:space="preserve"> Date:  12 Oct, 2019</t>
  </si>
  <si>
    <t xml:space="preserve"> Date:  13 Oct, 2019</t>
  </si>
  <si>
    <t xml:space="preserve"> Date:  14 Oct, 2019</t>
  </si>
  <si>
    <t>Bioplex</t>
  </si>
  <si>
    <t xml:space="preserve"> Date:  18 Oct, 2019</t>
  </si>
  <si>
    <t xml:space="preserve"> Date:  19 Oct, 2019</t>
  </si>
  <si>
    <t xml:space="preserve"> Date:  20 Oct, 2019</t>
  </si>
  <si>
    <t xml:space="preserve"> Date:  21 Oct, 2019</t>
  </si>
  <si>
    <t xml:space="preserve"> Date:  22 Oct, 2019</t>
  </si>
  <si>
    <t>Sigle Cell Protein/aminogen</t>
  </si>
  <si>
    <t xml:space="preserve"> Date:  24 Oct, 2019</t>
  </si>
  <si>
    <t>Kemzyeme Protease</t>
  </si>
  <si>
    <t xml:space="preserve"> Date:  25 Oct, 2019</t>
  </si>
  <si>
    <t xml:space="preserve"> Date:  26 Oct, 2019</t>
  </si>
  <si>
    <t>AD3E Premix</t>
  </si>
  <si>
    <t>Paddy</t>
  </si>
  <si>
    <t xml:space="preserve"> Date:  27 Oct, 2019</t>
  </si>
  <si>
    <t xml:space="preserve"> Date:  28 Oct, 2019</t>
  </si>
  <si>
    <t xml:space="preserve"> Date:  29 Oct, 2019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</si>
</sst>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6"/>
      <color theme="1"/>
      <name val="Times New Roman"/>
      <family val="1"/>
    </font>
    <font>
      <sz val="6"/>
      <color theme="1"/>
      <name val="Calibri"/>
      <family val="2"/>
      <scheme val="minor"/>
    </font>
    <font>
      <sz val="7"/>
      <color theme="1"/>
      <name val="Tahoma"/>
      <family val="2"/>
    </font>
    <font>
      <sz val="7"/>
      <name val="Tahoma"/>
      <family val="2"/>
    </font>
    <font>
      <b/>
      <sz val="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7"/>
      <color rgb="FFFF0000"/>
      <name val="Times New Roman"/>
      <family val="1"/>
    </font>
    <font>
      <sz val="8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Tahoma"/>
      <family val="2"/>
    </font>
    <font>
      <b/>
      <sz val="4"/>
      <color theme="1"/>
      <name val="Times New Roman"/>
      <family val="1"/>
    </font>
    <font>
      <sz val="6"/>
      <name val="Times New Roman"/>
      <family val="1"/>
    </font>
    <font>
      <b/>
      <i/>
      <sz val="8"/>
      <color theme="1"/>
      <name val="Times New Roman"/>
      <family val="1"/>
    </font>
    <font>
      <b/>
      <sz val="8"/>
      <name val="Times New Roman"/>
      <family val="1"/>
    </font>
    <font>
      <sz val="7"/>
      <color theme="1"/>
      <name val="Times New Roman"/>
      <family val="1"/>
    </font>
    <font>
      <sz val="7"/>
      <color rgb="FFFF0000"/>
      <name val="Tahoma"/>
      <family val="2"/>
    </font>
    <font>
      <sz val="4"/>
      <color theme="1"/>
      <name val="Calibri"/>
      <family val="2"/>
      <scheme val="minor"/>
    </font>
    <font>
      <sz val="8"/>
      <name val="Times New Roman"/>
      <family val="1"/>
    </font>
    <font>
      <sz val="7"/>
      <name val="Times New Roman"/>
      <family val="1"/>
    </font>
    <font>
      <sz val="6"/>
      <name val="Calibri"/>
      <family val="2"/>
      <scheme val="minor"/>
    </font>
    <font>
      <sz val="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35">
    <xf numFmtId="0" fontId="0" fillId="0" borderId="0" xfId="0"/>
    <xf numFmtId="0" fontId="0" fillId="0" borderId="0" xfId="0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0" fillId="0" borderId="1" xfId="0" applyBorder="1"/>
    <xf numFmtId="0" fontId="7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2" xfId="0" applyFont="1" applyBorder="1"/>
    <xf numFmtId="0" fontId="9" fillId="0" borderId="0" xfId="0" applyFont="1"/>
    <xf numFmtId="0" fontId="10" fillId="2" borderId="1" xfId="0" applyFont="1" applyFill="1" applyBorder="1" applyAlignment="1">
      <alignment vertical="center" wrapText="1"/>
    </xf>
    <xf numFmtId="164" fontId="10" fillId="0" borderId="1" xfId="1" applyNumberFormat="1" applyFont="1" applyBorder="1" applyAlignment="1">
      <alignment vertical="center" wrapText="1"/>
    </xf>
    <xf numFmtId="164" fontId="10" fillId="0" borderId="1" xfId="1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4" fontId="10" fillId="2" borderId="1" xfId="1" applyNumberFormat="1" applyFont="1" applyFill="1" applyBorder="1" applyAlignment="1">
      <alignment vertical="center" wrapText="1"/>
    </xf>
    <xf numFmtId="165" fontId="10" fillId="0" borderId="1" xfId="1" applyNumberFormat="1" applyFont="1" applyFill="1" applyBorder="1" applyAlignment="1">
      <alignment horizontal="left" vertical="center" wrapText="1"/>
    </xf>
    <xf numFmtId="164" fontId="10" fillId="0" borderId="1" xfId="1" applyNumberFormat="1" applyFont="1" applyFill="1" applyBorder="1" applyAlignment="1">
      <alignment horizontal="left" vertical="center" wrapText="1"/>
    </xf>
    <xf numFmtId="164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3" fillId="0" borderId="1" xfId="0" applyFont="1" applyBorder="1"/>
    <xf numFmtId="0" fontId="10" fillId="0" borderId="3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1" xfId="0" applyFont="1" applyBorder="1"/>
    <xf numFmtId="0" fontId="18" fillId="0" borderId="1" xfId="0" applyFont="1" applyBorder="1" applyAlignment="1">
      <alignment vertical="center" wrapText="1"/>
    </xf>
    <xf numFmtId="0" fontId="19" fillId="2" borderId="0" xfId="0" applyFont="1" applyFill="1" applyAlignment="1">
      <alignment wrapText="1"/>
    </xf>
    <xf numFmtId="0" fontId="17" fillId="0" borderId="0" xfId="0" applyFont="1"/>
    <xf numFmtId="2" fontId="10" fillId="0" borderId="1" xfId="0" applyNumberFormat="1" applyFont="1" applyBorder="1" applyAlignment="1">
      <alignment vertical="center"/>
    </xf>
    <xf numFmtId="2" fontId="7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vertical="center"/>
    </xf>
    <xf numFmtId="2" fontId="9" fillId="0" borderId="0" xfId="0" applyNumberFormat="1" applyFont="1"/>
    <xf numFmtId="2" fontId="0" fillId="0" borderId="0" xfId="0" applyNumberFormat="1"/>
    <xf numFmtId="164" fontId="10" fillId="0" borderId="2" xfId="1" applyNumberFormat="1" applyFont="1" applyFill="1" applyBorder="1" applyAlignment="1">
      <alignment vertical="center" wrapText="1"/>
    </xf>
    <xf numFmtId="164" fontId="10" fillId="0" borderId="2" xfId="1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9" fillId="3" borderId="1" xfId="0" applyFont="1" applyFill="1" applyBorder="1" applyAlignment="1">
      <alignment horizontal="center" vertical="center" wrapText="1"/>
    </xf>
    <xf numFmtId="165" fontId="10" fillId="0" borderId="1" xfId="1" applyNumberFormat="1" applyFont="1" applyBorder="1" applyAlignment="1">
      <alignment vertical="center" wrapText="1"/>
    </xf>
    <xf numFmtId="2" fontId="23" fillId="2" borderId="0" xfId="0" applyNumberFormat="1" applyFont="1" applyFill="1" applyBorder="1" applyAlignment="1">
      <alignment horizontal="right" vertical="center" wrapText="1"/>
    </xf>
    <xf numFmtId="2" fontId="17" fillId="0" borderId="0" xfId="0" applyNumberFormat="1" applyFont="1"/>
    <xf numFmtId="164" fontId="24" fillId="0" borderId="1" xfId="1" applyNumberFormat="1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43" fontId="17" fillId="0" borderId="0" xfId="1" applyFont="1"/>
    <xf numFmtId="0" fontId="25" fillId="0" borderId="0" xfId="0" applyFont="1"/>
    <xf numFmtId="0" fontId="19" fillId="3" borderId="3" xfId="0" applyFont="1" applyFill="1" applyBorder="1" applyAlignment="1">
      <alignment horizontal="center" vertical="center" wrapText="1"/>
    </xf>
    <xf numFmtId="43" fontId="9" fillId="0" borderId="0" xfId="1" applyFont="1"/>
    <xf numFmtId="0" fontId="7" fillId="0" borderId="0" xfId="0" applyFont="1" applyAlignment="1">
      <alignment horizontal="center"/>
    </xf>
    <xf numFmtId="164" fontId="10" fillId="4" borderId="1" xfId="1" applyNumberFormat="1" applyFont="1" applyFill="1" applyBorder="1" applyAlignment="1">
      <alignment vertical="center" wrapText="1"/>
    </xf>
    <xf numFmtId="164" fontId="24" fillId="0" borderId="1" xfId="1" applyNumberFormat="1" applyFont="1" applyFill="1" applyBorder="1" applyAlignment="1">
      <alignment vertical="center" wrapText="1"/>
    </xf>
    <xf numFmtId="0" fontId="24" fillId="0" borderId="1" xfId="0" applyFont="1" applyBorder="1" applyAlignment="1">
      <alignment horizontal="right" vertical="center"/>
    </xf>
    <xf numFmtId="0" fontId="15" fillId="4" borderId="1" xfId="0" applyFont="1" applyFill="1" applyBorder="1" applyAlignment="1">
      <alignment vertical="center" wrapText="1"/>
    </xf>
    <xf numFmtId="0" fontId="16" fillId="4" borderId="1" xfId="0" applyFont="1" applyFill="1" applyBorder="1"/>
    <xf numFmtId="0" fontId="14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9" fillId="0" borderId="3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0" xfId="0" applyFont="1" applyFill="1"/>
    <xf numFmtId="2" fontId="23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/>
    <xf numFmtId="2" fontId="17" fillId="0" borderId="0" xfId="0" applyNumberFormat="1" applyFont="1" applyFill="1"/>
    <xf numFmtId="43" fontId="9" fillId="0" borderId="0" xfId="1" applyFont="1" applyFill="1"/>
    <xf numFmtId="164" fontId="11" fillId="0" borderId="1" xfId="1" applyNumberFormat="1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right" vertical="center"/>
    </xf>
    <xf numFmtId="164" fontId="11" fillId="0" borderId="2" xfId="1" applyNumberFormat="1" applyFont="1" applyFill="1" applyBorder="1" applyAlignment="1">
      <alignment vertical="center" wrapText="1"/>
    </xf>
    <xf numFmtId="165" fontId="11" fillId="0" borderId="1" xfId="1" applyNumberFormat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2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21" fillId="2" borderId="4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 textRotation="90" wrapText="1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I14" sqref="I14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133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25983</v>
      </c>
      <c r="E6" s="15"/>
      <c r="F6" s="16"/>
      <c r="G6" s="15">
        <f>D6+E6-F6</f>
        <v>25983</v>
      </c>
      <c r="H6" s="15">
        <v>11974</v>
      </c>
      <c r="I6" s="16"/>
      <c r="J6" s="15">
        <f>G6-H6-I6</f>
        <v>14009</v>
      </c>
      <c r="K6" s="15">
        <v>5000</v>
      </c>
      <c r="L6" s="15">
        <f>J6+K6</f>
        <v>19009</v>
      </c>
      <c r="M6" s="30"/>
      <c r="N6" s="99">
        <v>21.5</v>
      </c>
      <c r="O6" s="50">
        <f>L6*N6</f>
        <v>408693.5</v>
      </c>
      <c r="P6" s="50">
        <f>J6*N6</f>
        <v>301193.5</v>
      </c>
      <c r="Q6" s="43">
        <f>O6-P6</f>
        <v>107500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21920</v>
      </c>
      <c r="E7" s="15">
        <f>15000+14990+14980+14990</f>
        <v>59960</v>
      </c>
      <c r="F7" s="15">
        <f>39+39+39+39</f>
        <v>156</v>
      </c>
      <c r="G7" s="15">
        <f t="shared" ref="G7:G80" si="0">D7+E7-F7</f>
        <v>81724</v>
      </c>
      <c r="H7" s="15">
        <v>4829</v>
      </c>
      <c r="I7" s="15"/>
      <c r="J7" s="15">
        <f t="shared" ref="J7:J70" si="1">G7-H7-I7</f>
        <v>76895</v>
      </c>
      <c r="K7" s="15">
        <v>0</v>
      </c>
      <c r="L7" s="15">
        <f t="shared" ref="L7:L87" si="2">J7+K7</f>
        <v>76895</v>
      </c>
      <c r="M7" s="30" t="s">
        <v>75</v>
      </c>
      <c r="N7" s="99">
        <v>38</v>
      </c>
      <c r="O7" s="50">
        <f t="shared" ref="O7:O70" si="3">L7*N7</f>
        <v>2922010</v>
      </c>
      <c r="P7" s="50">
        <f t="shared" ref="P7:P70" si="4">J7*N7</f>
        <v>2922010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39</v>
      </c>
      <c r="E8" s="15">
        <v>14831</v>
      </c>
      <c r="F8" s="15">
        <v>39</v>
      </c>
      <c r="G8" s="15">
        <f t="shared" si="0"/>
        <v>14831</v>
      </c>
      <c r="H8" s="15">
        <v>3428</v>
      </c>
      <c r="I8" s="15"/>
      <c r="J8" s="15">
        <f t="shared" si="1"/>
        <v>11403</v>
      </c>
      <c r="K8" s="15">
        <v>5000</v>
      </c>
      <c r="L8" s="15">
        <f t="shared" si="2"/>
        <v>16403</v>
      </c>
      <c r="M8" s="30" t="s">
        <v>75</v>
      </c>
      <c r="N8" s="99">
        <v>12</v>
      </c>
      <c r="O8" s="50">
        <f t="shared" si="3"/>
        <v>196836</v>
      </c>
      <c r="P8" s="50">
        <f t="shared" si="4"/>
        <v>136836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-5421</v>
      </c>
      <c r="E9" s="15"/>
      <c r="F9" s="15"/>
      <c r="G9" s="15">
        <f t="shared" si="0"/>
        <v>-5421</v>
      </c>
      <c r="H9" s="15"/>
      <c r="I9" s="15"/>
      <c r="J9" s="15">
        <f t="shared" si="1"/>
        <v>-5421</v>
      </c>
      <c r="K9" s="15">
        <v>3000</v>
      </c>
      <c r="L9" s="15">
        <f t="shared" si="2"/>
        <v>-2421</v>
      </c>
      <c r="M9" s="30" t="s">
        <v>75</v>
      </c>
      <c r="N9" s="99">
        <v>56</v>
      </c>
      <c r="O9" s="50">
        <f t="shared" si="3"/>
        <v>-135576</v>
      </c>
      <c r="P9" s="50">
        <f t="shared" si="4"/>
        <v>-303576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625579</v>
      </c>
      <c r="E10" s="15"/>
      <c r="F10" s="15"/>
      <c r="G10" s="15">
        <f t="shared" si="0"/>
        <v>625579</v>
      </c>
      <c r="H10" s="15">
        <v>2456</v>
      </c>
      <c r="I10" s="15"/>
      <c r="J10" s="15">
        <f t="shared" si="1"/>
        <v>623123</v>
      </c>
      <c r="K10" s="15">
        <v>-607000</v>
      </c>
      <c r="L10" s="15">
        <f t="shared" si="2"/>
        <v>16123</v>
      </c>
      <c r="M10" s="30"/>
      <c r="N10" s="99">
        <v>23.09</v>
      </c>
      <c r="O10" s="50">
        <f t="shared" si="3"/>
        <v>372280.07</v>
      </c>
      <c r="P10" s="50">
        <f t="shared" si="4"/>
        <v>14387910.07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-1950</v>
      </c>
      <c r="E11" s="15"/>
      <c r="F11" s="15"/>
      <c r="G11" s="15">
        <f t="shared" si="0"/>
        <v>-1950</v>
      </c>
      <c r="H11" s="15">
        <v>1826</v>
      </c>
      <c r="I11" s="15"/>
      <c r="J11" s="15">
        <f t="shared" si="1"/>
        <v>-3776</v>
      </c>
      <c r="K11" s="15">
        <v>2000</v>
      </c>
      <c r="L11" s="15">
        <f t="shared" si="2"/>
        <v>-1776</v>
      </c>
      <c r="M11" s="30" t="s">
        <v>75</v>
      </c>
      <c r="N11" s="99">
        <v>16.5</v>
      </c>
      <c r="O11" s="50">
        <f t="shared" si="3"/>
        <v>-29304</v>
      </c>
      <c r="P11" s="50">
        <f t="shared" si="4"/>
        <v>-62304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-4658</v>
      </c>
      <c r="E13" s="15"/>
      <c r="F13" s="15"/>
      <c r="G13" s="15">
        <f t="shared" si="0"/>
        <v>-4658</v>
      </c>
      <c r="H13" s="15">
        <v>43</v>
      </c>
      <c r="I13" s="15"/>
      <c r="J13" s="15">
        <f t="shared" si="1"/>
        <v>-4701</v>
      </c>
      <c r="K13" s="15">
        <v>5000</v>
      </c>
      <c r="L13" s="15">
        <f t="shared" si="2"/>
        <v>299</v>
      </c>
      <c r="M13" s="30" t="s">
        <v>75</v>
      </c>
      <c r="N13" s="99">
        <v>27.5</v>
      </c>
      <c r="O13" s="50">
        <f t="shared" si="3"/>
        <v>8222.5</v>
      </c>
      <c r="P13" s="50">
        <f t="shared" si="4"/>
        <v>-129277.5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16101</v>
      </c>
      <c r="E14" s="15"/>
      <c r="F14" s="15"/>
      <c r="G14" s="15">
        <f t="shared" si="0"/>
        <v>16101</v>
      </c>
      <c r="H14" s="15"/>
      <c r="I14" s="16"/>
      <c r="J14" s="15">
        <f t="shared" si="1"/>
        <v>16101</v>
      </c>
      <c r="K14" s="15">
        <v>-1000</v>
      </c>
      <c r="L14" s="15">
        <f t="shared" si="2"/>
        <v>15101</v>
      </c>
      <c r="M14" s="30"/>
      <c r="N14" s="99">
        <v>59</v>
      </c>
      <c r="O14" s="50">
        <f t="shared" si="3"/>
        <v>890959</v>
      </c>
      <c r="P14" s="50">
        <f t="shared" si="4"/>
        <v>949959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35475</v>
      </c>
      <c r="E16" s="29"/>
      <c r="F16" s="15"/>
      <c r="G16" s="15">
        <f t="shared" si="0"/>
        <v>35475</v>
      </c>
      <c r="H16" s="15">
        <v>64</v>
      </c>
      <c r="I16" s="16"/>
      <c r="J16" s="15">
        <f t="shared" si="1"/>
        <v>35411</v>
      </c>
      <c r="K16" s="15">
        <v>0</v>
      </c>
      <c r="L16" s="15">
        <f>J16+K16</f>
        <v>35411</v>
      </c>
      <c r="M16" s="30"/>
      <c r="N16" s="99">
        <v>43.25</v>
      </c>
      <c r="O16" s="50">
        <f t="shared" si="3"/>
        <v>1531525.75</v>
      </c>
      <c r="P16" s="50">
        <f t="shared" si="4"/>
        <v>1531525.75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20654</v>
      </c>
      <c r="E19" s="15"/>
      <c r="F19" s="15"/>
      <c r="G19" s="15">
        <f t="shared" si="0"/>
        <v>20654</v>
      </c>
      <c r="H19" s="15"/>
      <c r="I19" s="16"/>
      <c r="J19" s="15">
        <f t="shared" si="1"/>
        <v>20654</v>
      </c>
      <c r="K19" s="15">
        <v>1000</v>
      </c>
      <c r="L19" s="15">
        <f t="shared" si="2"/>
        <v>21654</v>
      </c>
      <c r="M19" s="30"/>
      <c r="N19" s="99">
        <v>22.8</v>
      </c>
      <c r="O19" s="50">
        <f t="shared" si="3"/>
        <v>493711.2</v>
      </c>
      <c r="P19" s="50">
        <f t="shared" si="4"/>
        <v>470911.2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8693</v>
      </c>
      <c r="E20" s="15">
        <v>4674</v>
      </c>
      <c r="F20" s="15"/>
      <c r="G20" s="15">
        <f t="shared" si="0"/>
        <v>13367</v>
      </c>
      <c r="H20" s="15"/>
      <c r="I20" s="16"/>
      <c r="J20" s="15">
        <f t="shared" si="1"/>
        <v>13367</v>
      </c>
      <c r="K20" s="15">
        <v>0</v>
      </c>
      <c r="L20" s="15">
        <f t="shared" si="2"/>
        <v>13367</v>
      </c>
      <c r="M20" s="30" t="s">
        <v>75</v>
      </c>
      <c r="N20" s="99">
        <v>20</v>
      </c>
      <c r="O20" s="50">
        <f t="shared" si="3"/>
        <v>267340</v>
      </c>
      <c r="P20" s="50">
        <f t="shared" si="4"/>
        <v>267340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9313</v>
      </c>
      <c r="E21" s="15"/>
      <c r="F21" s="15"/>
      <c r="G21" s="15">
        <f t="shared" si="0"/>
        <v>9313</v>
      </c>
      <c r="H21" s="15">
        <v>47</v>
      </c>
      <c r="I21" s="16"/>
      <c r="J21" s="15">
        <f t="shared" si="1"/>
        <v>9266</v>
      </c>
      <c r="K21" s="15">
        <v>0</v>
      </c>
      <c r="L21" s="15">
        <f t="shared" si="2"/>
        <v>9266</v>
      </c>
      <c r="M21" s="30"/>
      <c r="N21" s="99">
        <v>8.5</v>
      </c>
      <c r="O21" s="50">
        <f t="shared" si="3"/>
        <v>78761</v>
      </c>
      <c r="P21" s="50">
        <f t="shared" si="4"/>
        <v>78761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260726</v>
      </c>
      <c r="E22" s="15"/>
      <c r="F22" s="15"/>
      <c r="G22" s="15">
        <f t="shared" si="0"/>
        <v>260726</v>
      </c>
      <c r="H22" s="15">
        <v>1460</v>
      </c>
      <c r="I22" s="16"/>
      <c r="J22" s="15">
        <f t="shared" si="1"/>
        <v>259266</v>
      </c>
      <c r="K22" s="15">
        <v>8000</v>
      </c>
      <c r="L22" s="15">
        <f t="shared" si="2"/>
        <v>267266</v>
      </c>
      <c r="M22" s="30"/>
      <c r="N22" s="99">
        <v>8.5</v>
      </c>
      <c r="O22" s="50">
        <f t="shared" si="3"/>
        <v>2271761</v>
      </c>
      <c r="P22" s="50">
        <f t="shared" si="4"/>
        <v>2203761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6867</v>
      </c>
      <c r="E23" s="15"/>
      <c r="F23" s="15"/>
      <c r="G23" s="15">
        <f t="shared" si="0"/>
        <v>6867</v>
      </c>
      <c r="H23" s="15">
        <v>155</v>
      </c>
      <c r="I23" s="16"/>
      <c r="J23" s="15">
        <f t="shared" si="1"/>
        <v>6712</v>
      </c>
      <c r="K23" s="15">
        <v>1500</v>
      </c>
      <c r="L23" s="15">
        <f t="shared" si="2"/>
        <v>8212</v>
      </c>
      <c r="M23" s="30" t="s">
        <v>75</v>
      </c>
      <c r="N23" s="99">
        <v>82</v>
      </c>
      <c r="O23" s="50">
        <f t="shared" si="3"/>
        <v>673384</v>
      </c>
      <c r="P23" s="50">
        <f t="shared" si="4"/>
        <v>550384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22238</v>
      </c>
      <c r="E24" s="29"/>
      <c r="F24" s="29"/>
      <c r="G24" s="15">
        <f t="shared" si="0"/>
        <v>22238</v>
      </c>
      <c r="H24" s="15">
        <v>1474</v>
      </c>
      <c r="I24" s="16"/>
      <c r="J24" s="15">
        <f t="shared" si="1"/>
        <v>20764</v>
      </c>
      <c r="K24" s="15">
        <v>2713</v>
      </c>
      <c r="L24" s="15">
        <f t="shared" si="2"/>
        <v>23477</v>
      </c>
      <c r="M24" s="30" t="s">
        <v>75</v>
      </c>
      <c r="N24" s="99">
        <v>22.1</v>
      </c>
      <c r="O24" s="50">
        <f t="shared" si="3"/>
        <v>518841.7</v>
      </c>
      <c r="P24" s="50">
        <f t="shared" si="4"/>
        <v>458884.4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95</v>
      </c>
      <c r="E26" s="15"/>
      <c r="F26" s="15"/>
      <c r="G26" s="15">
        <f t="shared" si="0"/>
        <v>95</v>
      </c>
      <c r="H26" s="15"/>
      <c r="I26" s="16"/>
      <c r="J26" s="76">
        <f t="shared" si="1"/>
        <v>95</v>
      </c>
      <c r="K26" s="76">
        <v>0</v>
      </c>
      <c r="L26" s="76">
        <f t="shared" si="2"/>
        <v>95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10051</v>
      </c>
      <c r="E31" s="15"/>
      <c r="F31" s="15"/>
      <c r="G31" s="15">
        <f t="shared" si="0"/>
        <v>10051</v>
      </c>
      <c r="H31" s="15"/>
      <c r="I31" s="16"/>
      <c r="J31" s="76">
        <f t="shared" si="1"/>
        <v>10051</v>
      </c>
      <c r="K31" s="76">
        <v>0</v>
      </c>
      <c r="L31" s="76">
        <f t="shared" si="2"/>
        <v>10051</v>
      </c>
      <c r="M31" s="78"/>
      <c r="N31" s="99">
        <v>60</v>
      </c>
      <c r="O31" s="50">
        <f t="shared" si="3"/>
        <v>603060</v>
      </c>
      <c r="P31" s="50">
        <f t="shared" si="4"/>
        <v>603060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74</v>
      </c>
      <c r="D32" s="15">
        <v>0</v>
      </c>
      <c r="E32" s="15"/>
      <c r="F32" s="15"/>
      <c r="G32" s="15">
        <f t="shared" si="0"/>
        <v>0</v>
      </c>
      <c r="H32" s="15"/>
      <c r="I32" s="16"/>
      <c r="J32" s="76">
        <f t="shared" si="1"/>
        <v>0</v>
      </c>
      <c r="K32" s="76"/>
      <c r="L32" s="76">
        <f t="shared" si="2"/>
        <v>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17664</v>
      </c>
      <c r="E33" s="15"/>
      <c r="F33" s="15"/>
      <c r="G33" s="15">
        <f t="shared" si="0"/>
        <v>17664</v>
      </c>
      <c r="H33" s="15">
        <v>24</v>
      </c>
      <c r="I33" s="16"/>
      <c r="J33" s="76">
        <f t="shared" si="1"/>
        <v>17640</v>
      </c>
      <c r="K33" s="76">
        <v>206</v>
      </c>
      <c r="L33" s="76">
        <f t="shared" si="2"/>
        <v>17846</v>
      </c>
      <c r="M33" s="30"/>
      <c r="N33" s="99">
        <v>12.49</v>
      </c>
      <c r="O33" s="50">
        <f t="shared" si="3"/>
        <v>222896.54</v>
      </c>
      <c r="P33" s="50">
        <f t="shared" si="4"/>
        <v>220323.6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263</v>
      </c>
      <c r="E34" s="15"/>
      <c r="F34" s="15"/>
      <c r="G34" s="15">
        <f t="shared" si="0"/>
        <v>263</v>
      </c>
      <c r="H34" s="15">
        <v>1</v>
      </c>
      <c r="I34" s="16"/>
      <c r="J34" s="76">
        <f t="shared" si="1"/>
        <v>262</v>
      </c>
      <c r="K34" s="76">
        <v>-50</v>
      </c>
      <c r="L34" s="76">
        <f t="shared" si="2"/>
        <v>212</v>
      </c>
      <c r="M34" s="77"/>
      <c r="N34" s="99">
        <v>435</v>
      </c>
      <c r="O34" s="50">
        <f t="shared" si="3"/>
        <v>92220</v>
      </c>
      <c r="P34" s="50">
        <f t="shared" si="4"/>
        <v>113970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194</v>
      </c>
      <c r="E35" s="15"/>
      <c r="F35" s="15"/>
      <c r="G35" s="15">
        <f t="shared" si="0"/>
        <v>194</v>
      </c>
      <c r="H35" s="15"/>
      <c r="I35" s="16"/>
      <c r="J35" s="76">
        <f>G35-H35-I35</f>
        <v>194</v>
      </c>
      <c r="K35" s="76">
        <v>-10</v>
      </c>
      <c r="L35" s="76">
        <f t="shared" si="2"/>
        <v>184</v>
      </c>
      <c r="M35" s="84"/>
      <c r="N35" s="99">
        <v>730</v>
      </c>
      <c r="O35" s="50">
        <f t="shared" si="3"/>
        <v>134320</v>
      </c>
      <c r="P35" s="50">
        <f t="shared" si="4"/>
        <v>141620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385</v>
      </c>
      <c r="E36" s="15"/>
      <c r="F36" s="15"/>
      <c r="G36" s="15">
        <f t="shared" si="0"/>
        <v>385</v>
      </c>
      <c r="H36" s="16"/>
      <c r="I36" s="16"/>
      <c r="J36" s="76">
        <f t="shared" si="1"/>
        <v>385</v>
      </c>
      <c r="K36" s="76">
        <v>-125</v>
      </c>
      <c r="L36" s="76">
        <f t="shared" si="2"/>
        <v>260</v>
      </c>
      <c r="M36" s="84"/>
      <c r="N36" s="99">
        <v>155</v>
      </c>
      <c r="O36" s="50">
        <f t="shared" si="3"/>
        <v>40300</v>
      </c>
      <c r="P36" s="50">
        <f t="shared" si="4"/>
        <v>59675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1441</v>
      </c>
      <c r="E37" s="15"/>
      <c r="F37" s="15"/>
      <c r="G37" s="15">
        <f t="shared" si="0"/>
        <v>1441</v>
      </c>
      <c r="H37" s="16"/>
      <c r="I37" s="16"/>
      <c r="J37" s="76">
        <f t="shared" si="1"/>
        <v>1441</v>
      </c>
      <c r="K37" s="76">
        <v>0</v>
      </c>
      <c r="L37" s="76">
        <f t="shared" si="2"/>
        <v>1441</v>
      </c>
      <c r="M37" s="84"/>
      <c r="N37" s="99">
        <v>125</v>
      </c>
      <c r="O37" s="50">
        <f t="shared" si="3"/>
        <v>180125</v>
      </c>
      <c r="P37" s="50">
        <f t="shared" si="4"/>
        <v>180125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256</v>
      </c>
      <c r="E39" s="15"/>
      <c r="F39" s="15"/>
      <c r="G39" s="15">
        <f t="shared" si="0"/>
        <v>256</v>
      </c>
      <c r="H39" s="16">
        <v>1</v>
      </c>
      <c r="I39" s="16"/>
      <c r="J39" s="76">
        <f t="shared" si="1"/>
        <v>255</v>
      </c>
      <c r="K39" s="76">
        <v>-70</v>
      </c>
      <c r="L39" s="76">
        <f t="shared" si="2"/>
        <v>185</v>
      </c>
      <c r="M39" s="84"/>
      <c r="N39" s="99">
        <v>975</v>
      </c>
      <c r="O39" s="50">
        <f t="shared" si="3"/>
        <v>180375</v>
      </c>
      <c r="P39" s="50">
        <f t="shared" si="4"/>
        <v>248625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359</v>
      </c>
      <c r="E41" s="15"/>
      <c r="F41" s="15"/>
      <c r="G41" s="15">
        <f t="shared" si="0"/>
        <v>359</v>
      </c>
      <c r="H41" s="16">
        <v>1</v>
      </c>
      <c r="I41" s="16"/>
      <c r="J41" s="76">
        <f t="shared" si="1"/>
        <v>358</v>
      </c>
      <c r="K41" s="76">
        <v>-250</v>
      </c>
      <c r="L41" s="76">
        <f t="shared" si="2"/>
        <v>108</v>
      </c>
      <c r="M41" s="84"/>
      <c r="N41" s="99">
        <v>125</v>
      </c>
      <c r="O41" s="50">
        <f t="shared" si="3"/>
        <v>13500</v>
      </c>
      <c r="P41" s="50">
        <f t="shared" si="4"/>
        <v>44750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10956</v>
      </c>
      <c r="E44" s="15"/>
      <c r="F44" s="15"/>
      <c r="G44" s="15">
        <f t="shared" si="0"/>
        <v>10956</v>
      </c>
      <c r="H44" s="16"/>
      <c r="I44" s="16"/>
      <c r="J44" s="76">
        <f t="shared" si="1"/>
        <v>10956</v>
      </c>
      <c r="K44" s="76">
        <v>2200</v>
      </c>
      <c r="L44" s="76">
        <f t="shared" si="2"/>
        <v>13156</v>
      </c>
      <c r="M44" s="84"/>
      <c r="N44" s="99">
        <v>80</v>
      </c>
      <c r="O44" s="50">
        <f t="shared" si="3"/>
        <v>1052480</v>
      </c>
      <c r="P44" s="50">
        <f t="shared" si="4"/>
        <v>876480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0</v>
      </c>
      <c r="L45" s="76">
        <f t="shared" si="2"/>
        <v>500</v>
      </c>
      <c r="M45" s="84"/>
      <c r="N45" s="99">
        <v>500</v>
      </c>
      <c r="O45" s="50">
        <f t="shared" si="3"/>
        <v>250000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17273</v>
      </c>
      <c r="E46" s="15"/>
      <c r="F46" s="15"/>
      <c r="G46" s="15">
        <f t="shared" si="0"/>
        <v>17273</v>
      </c>
      <c r="H46" s="16">
        <v>40</v>
      </c>
      <c r="I46" s="16"/>
      <c r="J46" s="76">
        <f t="shared" si="1"/>
        <v>17233</v>
      </c>
      <c r="K46" s="76">
        <v>-180</v>
      </c>
      <c r="L46" s="76">
        <f t="shared" si="2"/>
        <v>17053</v>
      </c>
      <c r="M46" s="84"/>
      <c r="N46" s="99">
        <v>275</v>
      </c>
      <c r="O46" s="50">
        <f t="shared" si="3"/>
        <v>4689575</v>
      </c>
      <c r="P46" s="50">
        <f t="shared" si="4"/>
        <v>4739075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0</v>
      </c>
      <c r="E49" s="15"/>
      <c r="F49" s="15"/>
      <c r="G49" s="15">
        <f t="shared" si="0"/>
        <v>0</v>
      </c>
      <c r="H49" s="15"/>
      <c r="I49" s="16"/>
      <c r="J49" s="76">
        <f t="shared" si="1"/>
        <v>0</v>
      </c>
      <c r="K49" s="76">
        <v>0</v>
      </c>
      <c r="L49" s="76">
        <f t="shared" si="2"/>
        <v>0</v>
      </c>
      <c r="M49" s="84"/>
      <c r="N49" s="99">
        <v>800</v>
      </c>
      <c r="O49" s="50">
        <f t="shared" si="3"/>
        <v>0</v>
      </c>
      <c r="P49" s="50">
        <f t="shared" si="4"/>
        <v>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112</v>
      </c>
      <c r="E53" s="15"/>
      <c r="F53" s="15"/>
      <c r="G53" s="15">
        <f t="shared" si="0"/>
        <v>112</v>
      </c>
      <c r="H53" s="15"/>
      <c r="I53" s="20"/>
      <c r="J53" s="76">
        <f t="shared" si="1"/>
        <v>112</v>
      </c>
      <c r="K53" s="76">
        <v>0</v>
      </c>
      <c r="L53" s="76">
        <f t="shared" si="2"/>
        <v>112</v>
      </c>
      <c r="M53" s="84"/>
      <c r="N53" s="99">
        <v>1600</v>
      </c>
      <c r="O53" s="50">
        <f t="shared" si="3"/>
        <v>179200</v>
      </c>
      <c r="P53" s="50">
        <f t="shared" si="4"/>
        <v>179200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781</v>
      </c>
      <c r="E54" s="15"/>
      <c r="F54" s="15"/>
      <c r="G54" s="15">
        <f t="shared" si="0"/>
        <v>781</v>
      </c>
      <c r="H54" s="15">
        <v>1</v>
      </c>
      <c r="I54" s="16"/>
      <c r="J54" s="76">
        <f t="shared" si="1"/>
        <v>780</v>
      </c>
      <c r="K54" s="76">
        <v>-350</v>
      </c>
      <c r="L54" s="76">
        <f t="shared" si="2"/>
        <v>430</v>
      </c>
      <c r="M54" s="84"/>
      <c r="N54" s="99">
        <v>375</v>
      </c>
      <c r="O54" s="50">
        <f t="shared" si="3"/>
        <v>161250</v>
      </c>
      <c r="P54" s="50">
        <f t="shared" si="4"/>
        <v>292500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143</v>
      </c>
      <c r="E55" s="15"/>
      <c r="F55" s="15"/>
      <c r="G55" s="15">
        <f t="shared" si="0"/>
        <v>143</v>
      </c>
      <c r="H55" s="15"/>
      <c r="I55" s="21"/>
      <c r="J55" s="76">
        <f t="shared" si="1"/>
        <v>143</v>
      </c>
      <c r="K55" s="76">
        <v>9</v>
      </c>
      <c r="L55" s="76">
        <f t="shared" si="2"/>
        <v>152</v>
      </c>
      <c r="M55" s="30"/>
      <c r="N55" s="99">
        <v>425</v>
      </c>
      <c r="O55" s="50">
        <f t="shared" si="3"/>
        <v>64600</v>
      </c>
      <c r="P55" s="50">
        <f t="shared" si="4"/>
        <v>60775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294</v>
      </c>
      <c r="E56" s="15"/>
      <c r="F56" s="15"/>
      <c r="G56" s="15">
        <f t="shared" si="0"/>
        <v>294</v>
      </c>
      <c r="H56" s="15">
        <v>10</v>
      </c>
      <c r="I56" s="22"/>
      <c r="J56" s="76">
        <f t="shared" si="1"/>
        <v>284</v>
      </c>
      <c r="K56" s="76">
        <v>-194</v>
      </c>
      <c r="L56" s="76">
        <f t="shared" si="2"/>
        <v>90</v>
      </c>
      <c r="M56" s="84"/>
      <c r="N56" s="99">
        <v>390</v>
      </c>
      <c r="O56" s="50">
        <f t="shared" si="3"/>
        <v>35100</v>
      </c>
      <c r="P56" s="50">
        <f t="shared" si="4"/>
        <v>110760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121</v>
      </c>
      <c r="E58" s="15"/>
      <c r="F58" s="15"/>
      <c r="G58" s="15">
        <f t="shared" si="0"/>
        <v>121</v>
      </c>
      <c r="H58" s="15">
        <v>2</v>
      </c>
      <c r="I58" s="16"/>
      <c r="J58" s="76">
        <f t="shared" si="1"/>
        <v>119</v>
      </c>
      <c r="K58" s="76">
        <v>0</v>
      </c>
      <c r="L58" s="76">
        <f t="shared" si="2"/>
        <v>119</v>
      </c>
      <c r="M58" s="30"/>
      <c r="N58" s="99">
        <v>132</v>
      </c>
      <c r="O58" s="50">
        <f t="shared" si="3"/>
        <v>15708</v>
      </c>
      <c r="P58" s="50">
        <f t="shared" si="4"/>
        <v>15708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377</v>
      </c>
      <c r="E59" s="15"/>
      <c r="F59" s="15"/>
      <c r="G59" s="15">
        <f t="shared" si="0"/>
        <v>377</v>
      </c>
      <c r="H59" s="15"/>
      <c r="I59" s="16"/>
      <c r="J59" s="76">
        <f t="shared" si="1"/>
        <v>377</v>
      </c>
      <c r="K59" s="76">
        <v>0</v>
      </c>
      <c r="L59" s="76">
        <f t="shared" si="2"/>
        <v>377</v>
      </c>
      <c r="M59" s="84"/>
      <c r="N59" s="99">
        <v>570</v>
      </c>
      <c r="O59" s="50">
        <f t="shared" si="3"/>
        <v>214890</v>
      </c>
      <c r="P59" s="50">
        <f t="shared" si="4"/>
        <v>214890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533</v>
      </c>
      <c r="E62" s="15">
        <v>16500</v>
      </c>
      <c r="F62" s="15"/>
      <c r="G62" s="15">
        <f t="shared" si="0"/>
        <v>17033</v>
      </c>
      <c r="H62" s="15">
        <v>23</v>
      </c>
      <c r="I62" s="16"/>
      <c r="J62" s="76">
        <f t="shared" si="1"/>
        <v>17010</v>
      </c>
      <c r="K62" s="76">
        <v>187</v>
      </c>
      <c r="L62" s="76">
        <f t="shared" si="2"/>
        <v>17197</v>
      </c>
      <c r="M62" s="30"/>
      <c r="N62" s="99">
        <v>87.38</v>
      </c>
      <c r="O62" s="50">
        <f t="shared" si="3"/>
        <v>1502673.8599999999</v>
      </c>
      <c r="P62" s="50">
        <f t="shared" si="4"/>
        <v>1486333.7999999998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37</v>
      </c>
      <c r="E63" s="15"/>
      <c r="F63" s="15"/>
      <c r="G63" s="15">
        <f t="shared" si="0"/>
        <v>37</v>
      </c>
      <c r="H63" s="15">
        <v>2</v>
      </c>
      <c r="I63" s="16"/>
      <c r="J63" s="76">
        <f t="shared" si="1"/>
        <v>35</v>
      </c>
      <c r="K63" s="76">
        <v>125</v>
      </c>
      <c r="L63" s="76">
        <f t="shared" si="2"/>
        <v>160</v>
      </c>
      <c r="M63" s="84"/>
      <c r="N63" s="99">
        <v>290</v>
      </c>
      <c r="O63" s="50">
        <f t="shared" si="3"/>
        <v>46400</v>
      </c>
      <c r="P63" s="50">
        <f t="shared" si="4"/>
        <v>10150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121</v>
      </c>
      <c r="E64" s="23"/>
      <c r="F64" s="23"/>
      <c r="G64" s="23">
        <f t="shared" si="0"/>
        <v>121</v>
      </c>
      <c r="H64" s="23"/>
      <c r="I64" s="23"/>
      <c r="J64" s="76">
        <f t="shared" si="1"/>
        <v>121</v>
      </c>
      <c r="K64" s="79">
        <v>0</v>
      </c>
      <c r="L64" s="76">
        <f t="shared" si="2"/>
        <v>121</v>
      </c>
      <c r="M64" s="30"/>
      <c r="N64" s="99">
        <v>70</v>
      </c>
      <c r="O64" s="50">
        <f t="shared" si="3"/>
        <v>8470</v>
      </c>
      <c r="P64" s="50">
        <f t="shared" si="4"/>
        <v>8470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995</v>
      </c>
      <c r="E65" s="24"/>
      <c r="F65" s="24"/>
      <c r="G65" s="16">
        <f t="shared" si="0"/>
        <v>995</v>
      </c>
      <c r="H65" s="24"/>
      <c r="I65" s="24"/>
      <c r="J65" s="76">
        <f t="shared" si="1"/>
        <v>995</v>
      </c>
      <c r="K65" s="80">
        <v>0</v>
      </c>
      <c r="L65" s="76">
        <f t="shared" si="2"/>
        <v>995</v>
      </c>
      <c r="M65" s="86"/>
      <c r="N65" s="99">
        <v>240</v>
      </c>
      <c r="O65" s="50">
        <f t="shared" si="3"/>
        <v>238800</v>
      </c>
      <c r="P65" s="50">
        <f t="shared" si="4"/>
        <v>238800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400</v>
      </c>
      <c r="E66" s="24"/>
      <c r="F66" s="24"/>
      <c r="G66" s="16">
        <f t="shared" si="0"/>
        <v>400</v>
      </c>
      <c r="H66" s="24"/>
      <c r="I66" s="24"/>
      <c r="J66" s="76">
        <f t="shared" si="1"/>
        <v>400</v>
      </c>
      <c r="K66" s="81">
        <v>0</v>
      </c>
      <c r="L66" s="81">
        <f t="shared" si="2"/>
        <v>400</v>
      </c>
      <c r="M66" s="86"/>
      <c r="N66" s="99">
        <v>1100</v>
      </c>
      <c r="O66" s="50">
        <f t="shared" si="3"/>
        <v>440000</v>
      </c>
      <c r="P66" s="50">
        <f t="shared" si="4"/>
        <v>440000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1914</v>
      </c>
      <c r="E67" s="24"/>
      <c r="F67" s="24"/>
      <c r="G67" s="16">
        <f t="shared" si="0"/>
        <v>1914</v>
      </c>
      <c r="H67" s="24">
        <v>32</v>
      </c>
      <c r="I67" s="24"/>
      <c r="J67" s="76">
        <f t="shared" si="1"/>
        <v>1882</v>
      </c>
      <c r="K67" s="80">
        <v>0</v>
      </c>
      <c r="L67" s="76">
        <f t="shared" si="2"/>
        <v>1882</v>
      </c>
      <c r="M67" s="84"/>
      <c r="N67" s="99">
        <v>53</v>
      </c>
      <c r="O67" s="50">
        <f t="shared" si="3"/>
        <v>99746</v>
      </c>
      <c r="P67" s="50">
        <f t="shared" si="4"/>
        <v>99746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478</v>
      </c>
      <c r="E70" s="24"/>
      <c r="F70" s="24"/>
      <c r="G70" s="16">
        <f t="shared" si="0"/>
        <v>478</v>
      </c>
      <c r="H70" s="24"/>
      <c r="I70" s="24"/>
      <c r="J70" s="76">
        <f t="shared" si="1"/>
        <v>478</v>
      </c>
      <c r="K70" s="80">
        <v>-153</v>
      </c>
      <c r="L70" s="76">
        <f t="shared" si="2"/>
        <v>325</v>
      </c>
      <c r="M70" s="86"/>
      <c r="N70" s="99">
        <v>260</v>
      </c>
      <c r="O70" s="50">
        <f t="shared" si="3"/>
        <v>84500</v>
      </c>
      <c r="P70" s="50">
        <f t="shared" si="4"/>
        <v>124280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4678</v>
      </c>
      <c r="E72" s="24"/>
      <c r="F72" s="24"/>
      <c r="G72" s="16">
        <f t="shared" si="0"/>
        <v>4678</v>
      </c>
      <c r="H72" s="24">
        <v>6</v>
      </c>
      <c r="I72" s="24"/>
      <c r="J72" s="76">
        <f t="shared" si="5"/>
        <v>4672</v>
      </c>
      <c r="K72" s="80">
        <v>1000</v>
      </c>
      <c r="L72" s="76">
        <f t="shared" si="2"/>
        <v>5672</v>
      </c>
      <c r="M72" s="30"/>
      <c r="N72" s="99">
        <v>39</v>
      </c>
      <c r="O72" s="50">
        <f t="shared" si="6"/>
        <v>221208</v>
      </c>
      <c r="P72" s="50">
        <f t="shared" si="7"/>
        <v>182208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19774</v>
      </c>
      <c r="E73" s="24"/>
      <c r="F73" s="24"/>
      <c r="G73" s="16">
        <f t="shared" si="0"/>
        <v>19774</v>
      </c>
      <c r="H73" s="24">
        <v>12</v>
      </c>
      <c r="I73" s="42"/>
      <c r="J73" s="76">
        <f t="shared" si="5"/>
        <v>19762</v>
      </c>
      <c r="K73" s="80">
        <v>0</v>
      </c>
      <c r="L73" s="76">
        <f t="shared" si="2"/>
        <v>19762</v>
      </c>
      <c r="M73" s="84"/>
      <c r="N73" s="99">
        <v>83</v>
      </c>
      <c r="O73" s="50">
        <f t="shared" si="6"/>
        <v>1640246</v>
      </c>
      <c r="P73" s="50">
        <f t="shared" si="7"/>
        <v>1640246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2282</v>
      </c>
      <c r="E75" s="24"/>
      <c r="F75" s="24"/>
      <c r="G75" s="16">
        <f t="shared" si="0"/>
        <v>2282</v>
      </c>
      <c r="H75" s="24"/>
      <c r="I75" s="24"/>
      <c r="J75" s="76">
        <f t="shared" si="5"/>
        <v>2282</v>
      </c>
      <c r="K75" s="80">
        <v>273</v>
      </c>
      <c r="L75" s="76">
        <f t="shared" si="2"/>
        <v>2555</v>
      </c>
      <c r="M75" s="86"/>
      <c r="N75" s="99">
        <v>16</v>
      </c>
      <c r="O75" s="50">
        <f t="shared" si="6"/>
        <v>40880</v>
      </c>
      <c r="P75" s="50">
        <f t="shared" si="7"/>
        <v>36512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508</v>
      </c>
      <c r="E76" s="24"/>
      <c r="F76" s="24"/>
      <c r="G76" s="16">
        <f t="shared" si="0"/>
        <v>508</v>
      </c>
      <c r="H76" s="24"/>
      <c r="I76" s="24"/>
      <c r="J76" s="76">
        <f t="shared" si="5"/>
        <v>508</v>
      </c>
      <c r="K76" s="80">
        <v>-150</v>
      </c>
      <c r="L76" s="76">
        <f t="shared" si="2"/>
        <v>358</v>
      </c>
      <c r="M76" s="30"/>
      <c r="N76" s="99">
        <v>400</v>
      </c>
      <c r="O76" s="50">
        <f t="shared" si="6"/>
        <v>143200</v>
      </c>
      <c r="P76" s="50">
        <f t="shared" si="7"/>
        <v>203200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227</v>
      </c>
      <c r="E78" s="24"/>
      <c r="F78" s="24"/>
      <c r="G78" s="16">
        <f t="shared" si="0"/>
        <v>227</v>
      </c>
      <c r="H78" s="24">
        <v>1</v>
      </c>
      <c r="I78" s="24"/>
      <c r="J78" s="76">
        <f t="shared" si="5"/>
        <v>226</v>
      </c>
      <c r="K78" s="80">
        <v>-10</v>
      </c>
      <c r="L78" s="76">
        <f t="shared" si="2"/>
        <v>216</v>
      </c>
      <c r="M78" s="86"/>
      <c r="N78" s="99">
        <v>900</v>
      </c>
      <c r="O78" s="50">
        <f t="shared" si="6"/>
        <v>194400</v>
      </c>
      <c r="P78" s="50">
        <f t="shared" si="7"/>
        <v>203400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6285</v>
      </c>
      <c r="E83" s="98"/>
      <c r="F83" s="24"/>
      <c r="G83" s="16">
        <f t="shared" si="8"/>
        <v>6285</v>
      </c>
      <c r="H83" s="24"/>
      <c r="I83" s="95"/>
      <c r="J83" s="76">
        <f t="shared" si="5"/>
        <v>6285</v>
      </c>
      <c r="K83" s="81">
        <v>0</v>
      </c>
      <c r="L83" s="76">
        <f t="shared" si="2"/>
        <v>6285</v>
      </c>
      <c r="M83" s="85"/>
      <c r="N83" s="100">
        <v>64</v>
      </c>
      <c r="O83" s="50">
        <f t="shared" si="6"/>
        <v>402240</v>
      </c>
      <c r="P83" s="50">
        <f t="shared" si="7"/>
        <v>402240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84</v>
      </c>
      <c r="D84" s="89">
        <v>0</v>
      </c>
      <c r="E84" s="89"/>
      <c r="F84" s="12"/>
      <c r="G84" s="45">
        <f t="shared" si="8"/>
        <v>0</v>
      </c>
      <c r="H84" s="12"/>
      <c r="I84" s="94"/>
      <c r="J84" s="82">
        <f t="shared" ref="J84:J97" si="9">D84+E84-H84-I84</f>
        <v>0</v>
      </c>
      <c r="K84" s="96">
        <v>13</v>
      </c>
      <c r="L84" s="82">
        <f t="shared" si="2"/>
        <v>13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-8</v>
      </c>
      <c r="E85" s="90"/>
      <c r="F85" s="11"/>
      <c r="G85" s="16">
        <f t="shared" si="8"/>
        <v>-8</v>
      </c>
      <c r="H85" s="88"/>
      <c r="I85" s="11"/>
      <c r="J85" s="76">
        <f t="shared" si="9"/>
        <v>-8</v>
      </c>
      <c r="K85" s="97">
        <v>100</v>
      </c>
      <c r="L85" s="76">
        <f t="shared" si="2"/>
        <v>92</v>
      </c>
      <c r="M85" s="86"/>
      <c r="N85" s="99">
        <v>350</v>
      </c>
      <c r="O85" s="50">
        <f t="shared" si="6"/>
        <v>32200</v>
      </c>
      <c r="P85" s="50">
        <f t="shared" si="7"/>
        <v>-2800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427</v>
      </c>
      <c r="E86" s="90"/>
      <c r="F86" s="11"/>
      <c r="G86" s="16">
        <f t="shared" si="8"/>
        <v>427</v>
      </c>
      <c r="H86" s="88"/>
      <c r="I86" s="11"/>
      <c r="J86" s="76">
        <f t="shared" si="9"/>
        <v>427</v>
      </c>
      <c r="K86" s="97">
        <v>300</v>
      </c>
      <c r="L86" s="76">
        <f t="shared" si="2"/>
        <v>727</v>
      </c>
      <c r="M86" s="84"/>
      <c r="N86" s="99">
        <v>165</v>
      </c>
      <c r="O86" s="50">
        <f t="shared" si="6"/>
        <v>119955</v>
      </c>
      <c r="P86" s="50">
        <f t="shared" si="7"/>
        <v>70455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295</v>
      </c>
      <c r="E87" s="11"/>
      <c r="F87" s="11"/>
      <c r="G87" s="16">
        <f t="shared" si="8"/>
        <v>295</v>
      </c>
      <c r="H87" s="88">
        <v>2</v>
      </c>
      <c r="I87" s="11"/>
      <c r="J87" s="76">
        <f t="shared" si="9"/>
        <v>293</v>
      </c>
      <c r="K87" s="97">
        <v>-1</v>
      </c>
      <c r="L87" s="76">
        <f t="shared" si="2"/>
        <v>292</v>
      </c>
      <c r="M87" s="86"/>
      <c r="N87" s="99">
        <v>630</v>
      </c>
      <c r="O87" s="50">
        <f t="shared" si="6"/>
        <v>183960</v>
      </c>
      <c r="P87" s="50">
        <f t="shared" si="7"/>
        <v>184590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87</v>
      </c>
      <c r="E88" s="11"/>
      <c r="F88" s="11"/>
      <c r="G88" s="16">
        <f t="shared" si="8"/>
        <v>87</v>
      </c>
      <c r="H88" s="88"/>
      <c r="I88" s="11"/>
      <c r="J88" s="76">
        <f t="shared" si="9"/>
        <v>87</v>
      </c>
      <c r="K88" s="97">
        <v>8</v>
      </c>
      <c r="L88" s="76">
        <f t="shared" ref="L88:L97" si="10">J88+K88</f>
        <v>95</v>
      </c>
      <c r="M88" s="86"/>
      <c r="N88" s="99">
        <v>285</v>
      </c>
      <c r="O88" s="50">
        <f t="shared" si="6"/>
        <v>27075</v>
      </c>
      <c r="P88" s="50">
        <f t="shared" si="7"/>
        <v>24795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2906</v>
      </c>
      <c r="E89" s="88"/>
      <c r="F89" s="11"/>
      <c r="G89" s="16">
        <f t="shared" si="8"/>
        <v>2906</v>
      </c>
      <c r="H89" s="88">
        <v>793</v>
      </c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592</v>
      </c>
      <c r="E92" s="88"/>
      <c r="F92" s="11"/>
      <c r="G92" s="16">
        <f t="shared" si="8"/>
        <v>592</v>
      </c>
      <c r="H92" s="88"/>
      <c r="I92" s="11"/>
      <c r="J92" s="83">
        <f t="shared" si="9"/>
        <v>592</v>
      </c>
      <c r="K92" s="97">
        <v>0</v>
      </c>
      <c r="L92" s="76">
        <f t="shared" si="10"/>
        <v>592</v>
      </c>
      <c r="M92" s="86"/>
      <c r="N92" s="99">
        <v>113</v>
      </c>
      <c r="O92" s="50">
        <f t="shared" si="6"/>
        <v>66896</v>
      </c>
      <c r="P92" s="50">
        <f t="shared" si="7"/>
        <v>66896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366</v>
      </c>
      <c r="E94" s="88"/>
      <c r="F94" s="11"/>
      <c r="G94" s="16">
        <f t="shared" si="8"/>
        <v>366</v>
      </c>
      <c r="H94" s="88">
        <v>1</v>
      </c>
      <c r="I94" s="11"/>
      <c r="J94" s="83">
        <f t="shared" si="9"/>
        <v>365</v>
      </c>
      <c r="K94" s="97">
        <v>-50</v>
      </c>
      <c r="L94" s="76">
        <f t="shared" si="10"/>
        <v>315</v>
      </c>
      <c r="M94" s="86"/>
      <c r="N94" s="99">
        <v>950</v>
      </c>
      <c r="O94" s="50">
        <f t="shared" si="6"/>
        <v>299250</v>
      </c>
      <c r="P94" s="50">
        <f t="shared" si="7"/>
        <v>346750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1155894.2549999999</v>
      </c>
      <c r="E98" s="27">
        <f t="shared" ref="E98:L98" si="11">SUM(E6:E97)</f>
        <v>95965</v>
      </c>
      <c r="F98" s="27">
        <f t="shared" si="11"/>
        <v>195</v>
      </c>
      <c r="G98" s="27">
        <f t="shared" si="11"/>
        <v>1251664.2549999999</v>
      </c>
      <c r="H98" s="27">
        <f t="shared" si="11"/>
        <v>28708</v>
      </c>
      <c r="I98" s="27">
        <f t="shared" si="11"/>
        <v>0</v>
      </c>
      <c r="J98" s="27">
        <f t="shared" si="11"/>
        <v>1222956.2549999999</v>
      </c>
      <c r="K98" s="27">
        <f t="shared" si="11"/>
        <v>-568505</v>
      </c>
      <c r="L98" s="27">
        <f t="shared" si="11"/>
        <v>654451.25499999989</v>
      </c>
      <c r="M98" s="27">
        <f>SUM(M6:M96)</f>
        <v>0</v>
      </c>
      <c r="N98" s="51"/>
      <c r="O98" s="51">
        <f t="shared" ref="O98" si="12">SUM(O6:O97)</f>
        <v>29288226.789999999</v>
      </c>
      <c r="P98" s="51">
        <f>SUM(P6:P97)</f>
        <v>41468057.490000002</v>
      </c>
      <c r="Q98" s="57">
        <f>O98-P98</f>
        <v>-12179830.700000003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01" t="s">
        <v>115</v>
      </c>
      <c r="M100" s="101"/>
      <c r="O100" s="55" t="s">
        <v>110</v>
      </c>
      <c r="P100" s="54">
        <v>79909923</v>
      </c>
    </row>
    <row r="101" spans="1:22">
      <c r="P101" s="54">
        <f>P100-P98</f>
        <v>38441865.509999998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5" activePane="bottomLeft" state="frozen"/>
      <selection pane="bottomLeft" activeCell="K102" sqref="K102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144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-7858</v>
      </c>
      <c r="E6" s="15">
        <v>15650</v>
      </c>
      <c r="F6" s="16">
        <v>130</v>
      </c>
      <c r="G6" s="15">
        <f>D6+E6-F6</f>
        <v>7662</v>
      </c>
      <c r="H6" s="15">
        <v>15098</v>
      </c>
      <c r="I6" s="16"/>
      <c r="J6" s="15">
        <f>G6-H6-I6</f>
        <v>-7436</v>
      </c>
      <c r="K6" s="15">
        <v>8000</v>
      </c>
      <c r="L6" s="15">
        <f>J6+K6</f>
        <v>564</v>
      </c>
      <c r="M6" s="30" t="s">
        <v>75</v>
      </c>
      <c r="N6" s="99">
        <v>21.5</v>
      </c>
      <c r="O6" s="50">
        <f>L6*N6</f>
        <v>12126</v>
      </c>
      <c r="P6" s="50">
        <f>J6*N6</f>
        <v>-159874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73352</v>
      </c>
      <c r="E7" s="15">
        <v>15000</v>
      </c>
      <c r="F7" s="15">
        <v>39</v>
      </c>
      <c r="G7" s="15">
        <f t="shared" ref="G7:G80" si="0">D7+E7-F7</f>
        <v>88313</v>
      </c>
      <c r="H7" s="15">
        <v>4617</v>
      </c>
      <c r="I7" s="15"/>
      <c r="J7" s="15">
        <f t="shared" ref="J7:J70" si="1">G7-H7-I7</f>
        <v>83696</v>
      </c>
      <c r="K7" s="15">
        <v>-5000</v>
      </c>
      <c r="L7" s="15">
        <f t="shared" ref="L7:L87" si="2">J7+K7</f>
        <v>78696</v>
      </c>
      <c r="M7" s="30" t="s">
        <v>75</v>
      </c>
      <c r="N7" s="99">
        <v>38</v>
      </c>
      <c r="O7" s="50">
        <f t="shared" ref="O7:O70" si="3">L7*N7</f>
        <v>2990448</v>
      </c>
      <c r="P7" s="50">
        <f t="shared" ref="P7:P70" si="4">J7*N7</f>
        <v>3180448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23361</v>
      </c>
      <c r="E8" s="15">
        <v>14470</v>
      </c>
      <c r="F8" s="15">
        <v>38</v>
      </c>
      <c r="G8" s="15">
        <f t="shared" si="0"/>
        <v>37793</v>
      </c>
      <c r="H8" s="15"/>
      <c r="I8" s="15"/>
      <c r="J8" s="15">
        <f t="shared" si="1"/>
        <v>37793</v>
      </c>
      <c r="K8" s="15">
        <v>0</v>
      </c>
      <c r="L8" s="15">
        <f t="shared" si="2"/>
        <v>37793</v>
      </c>
      <c r="M8" s="30" t="s">
        <v>75</v>
      </c>
      <c r="N8" s="99">
        <v>12</v>
      </c>
      <c r="O8" s="50">
        <f t="shared" si="3"/>
        <v>453516</v>
      </c>
      <c r="P8" s="50">
        <f t="shared" si="4"/>
        <v>453516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662642</v>
      </c>
      <c r="E10" s="15"/>
      <c r="F10" s="15"/>
      <c r="G10" s="15">
        <f t="shared" si="0"/>
        <v>662642</v>
      </c>
      <c r="H10" s="15"/>
      <c r="I10" s="15"/>
      <c r="J10" s="15">
        <f t="shared" si="1"/>
        <v>662642</v>
      </c>
      <c r="K10" s="15">
        <v>-607000</v>
      </c>
      <c r="L10" s="15">
        <f t="shared" si="2"/>
        <v>55642</v>
      </c>
      <c r="M10" s="30"/>
      <c r="N10" s="99">
        <v>23.09</v>
      </c>
      <c r="O10" s="50">
        <f t="shared" si="3"/>
        <v>1284773.78</v>
      </c>
      <c r="P10" s="50">
        <f t="shared" si="4"/>
        <v>15300403.779999999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6356</v>
      </c>
      <c r="E11" s="15"/>
      <c r="F11" s="15"/>
      <c r="G11" s="15">
        <f t="shared" si="0"/>
        <v>6356</v>
      </c>
      <c r="H11" s="15"/>
      <c r="I11" s="15"/>
      <c r="J11" s="15">
        <f t="shared" si="1"/>
        <v>6356</v>
      </c>
      <c r="K11" s="15">
        <v>2000</v>
      </c>
      <c r="L11" s="15">
        <f t="shared" si="2"/>
        <v>8356</v>
      </c>
      <c r="M11" s="30" t="s">
        <v>75</v>
      </c>
      <c r="N11" s="99">
        <v>16.5</v>
      </c>
      <c r="O11" s="50">
        <f t="shared" si="3"/>
        <v>137874</v>
      </c>
      <c r="P11" s="50">
        <f t="shared" si="4"/>
        <v>104874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5734</v>
      </c>
      <c r="E13" s="15"/>
      <c r="F13" s="15"/>
      <c r="G13" s="15">
        <f t="shared" si="0"/>
        <v>5734</v>
      </c>
      <c r="H13" s="15">
        <v>2245</v>
      </c>
      <c r="I13" s="15"/>
      <c r="J13" s="15">
        <f t="shared" si="1"/>
        <v>3489</v>
      </c>
      <c r="K13" s="15">
        <v>5000</v>
      </c>
      <c r="L13" s="15">
        <f t="shared" si="2"/>
        <v>8489</v>
      </c>
      <c r="M13" s="30" t="s">
        <v>75</v>
      </c>
      <c r="N13" s="99">
        <v>27.5</v>
      </c>
      <c r="O13" s="50">
        <f t="shared" si="3"/>
        <v>233447.5</v>
      </c>
      <c r="P13" s="50">
        <f t="shared" si="4"/>
        <v>95947.5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14949</v>
      </c>
      <c r="E14" s="15"/>
      <c r="F14" s="15"/>
      <c r="G14" s="15">
        <f t="shared" si="0"/>
        <v>14949</v>
      </c>
      <c r="H14" s="15">
        <v>2221</v>
      </c>
      <c r="I14" s="16"/>
      <c r="J14" s="15">
        <f t="shared" si="1"/>
        <v>12728</v>
      </c>
      <c r="K14" s="15">
        <v>-1000</v>
      </c>
      <c r="L14" s="15">
        <f t="shared" si="2"/>
        <v>11728</v>
      </c>
      <c r="M14" s="30"/>
      <c r="N14" s="99">
        <v>59</v>
      </c>
      <c r="O14" s="50">
        <f t="shared" si="3"/>
        <v>691952</v>
      </c>
      <c r="P14" s="50">
        <f t="shared" si="4"/>
        <v>750952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28670</v>
      </c>
      <c r="E16" s="29"/>
      <c r="F16" s="15"/>
      <c r="G16" s="15">
        <f t="shared" si="0"/>
        <v>28670</v>
      </c>
      <c r="H16" s="15">
        <v>568</v>
      </c>
      <c r="I16" s="16"/>
      <c r="J16" s="15">
        <f t="shared" si="1"/>
        <v>28102</v>
      </c>
      <c r="K16" s="15">
        <v>0</v>
      </c>
      <c r="L16" s="15">
        <f>J16+K16</f>
        <v>28102</v>
      </c>
      <c r="M16" s="30"/>
      <c r="N16" s="99">
        <v>43.25</v>
      </c>
      <c r="O16" s="50">
        <f t="shared" si="3"/>
        <v>1215411.5</v>
      </c>
      <c r="P16" s="50">
        <f t="shared" si="4"/>
        <v>1215411.5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12894</v>
      </c>
      <c r="E19" s="15"/>
      <c r="F19" s="15"/>
      <c r="G19" s="15">
        <f t="shared" si="0"/>
        <v>12894</v>
      </c>
      <c r="H19" s="15">
        <v>975</v>
      </c>
      <c r="I19" s="16"/>
      <c r="J19" s="15">
        <f t="shared" si="1"/>
        <v>11919</v>
      </c>
      <c r="K19" s="15">
        <v>1000</v>
      </c>
      <c r="L19" s="15">
        <f t="shared" si="2"/>
        <v>12919</v>
      </c>
      <c r="M19" s="30"/>
      <c r="N19" s="99">
        <v>22.8</v>
      </c>
      <c r="O19" s="50">
        <f t="shared" si="3"/>
        <v>294553.2</v>
      </c>
      <c r="P19" s="50">
        <f t="shared" si="4"/>
        <v>271753.2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7420</v>
      </c>
      <c r="E20" s="15"/>
      <c r="F20" s="15"/>
      <c r="G20" s="15">
        <f t="shared" si="0"/>
        <v>7420</v>
      </c>
      <c r="H20" s="15"/>
      <c r="I20" s="16"/>
      <c r="J20" s="15">
        <f t="shared" si="1"/>
        <v>7420</v>
      </c>
      <c r="K20" s="15">
        <v>0</v>
      </c>
      <c r="L20" s="15">
        <f t="shared" si="2"/>
        <v>7420</v>
      </c>
      <c r="M20" s="30" t="s">
        <v>75</v>
      </c>
      <c r="N20" s="99">
        <v>20</v>
      </c>
      <c r="O20" s="50">
        <f t="shared" si="3"/>
        <v>148400</v>
      </c>
      <c r="P20" s="50">
        <f t="shared" si="4"/>
        <v>148400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6529</v>
      </c>
      <c r="E21" s="15"/>
      <c r="F21" s="15"/>
      <c r="G21" s="15">
        <f t="shared" si="0"/>
        <v>6529</v>
      </c>
      <c r="H21" s="15">
        <v>374</v>
      </c>
      <c r="I21" s="16"/>
      <c r="J21" s="15">
        <f t="shared" si="1"/>
        <v>6155</v>
      </c>
      <c r="K21" s="15">
        <v>0</v>
      </c>
      <c r="L21" s="15">
        <f t="shared" si="2"/>
        <v>6155</v>
      </c>
      <c r="M21" s="30"/>
      <c r="N21" s="99">
        <v>8.5</v>
      </c>
      <c r="O21" s="50">
        <f t="shared" si="3"/>
        <v>52317.5</v>
      </c>
      <c r="P21" s="50">
        <f t="shared" si="4"/>
        <v>52317.5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248122</v>
      </c>
      <c r="E22" s="15"/>
      <c r="F22" s="15"/>
      <c r="G22" s="15">
        <f t="shared" si="0"/>
        <v>248122</v>
      </c>
      <c r="H22" s="15">
        <v>1645</v>
      </c>
      <c r="I22" s="16"/>
      <c r="J22" s="15">
        <f t="shared" si="1"/>
        <v>246477</v>
      </c>
      <c r="K22" s="15">
        <v>8000</v>
      </c>
      <c r="L22" s="15">
        <f t="shared" si="2"/>
        <v>254477</v>
      </c>
      <c r="M22" s="30"/>
      <c r="N22" s="99">
        <v>8.5</v>
      </c>
      <c r="O22" s="50">
        <f t="shared" si="3"/>
        <v>2163054.5</v>
      </c>
      <c r="P22" s="50">
        <f t="shared" si="4"/>
        <v>2095054.5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1094</v>
      </c>
      <c r="E23" s="15"/>
      <c r="F23" s="15"/>
      <c r="G23" s="15">
        <f t="shared" si="0"/>
        <v>1094</v>
      </c>
      <c r="H23" s="15">
        <v>197</v>
      </c>
      <c r="I23" s="16"/>
      <c r="J23" s="15">
        <f t="shared" si="1"/>
        <v>897</v>
      </c>
      <c r="K23" s="15">
        <v>1500</v>
      </c>
      <c r="L23" s="15">
        <f t="shared" si="2"/>
        <v>2397</v>
      </c>
      <c r="M23" s="30" t="s">
        <v>75</v>
      </c>
      <c r="N23" s="99">
        <v>82</v>
      </c>
      <c r="O23" s="50">
        <f t="shared" si="3"/>
        <v>196554</v>
      </c>
      <c r="P23" s="50">
        <f t="shared" si="4"/>
        <v>73554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15157</v>
      </c>
      <c r="E24" s="29"/>
      <c r="F24" s="29"/>
      <c r="G24" s="15">
        <f t="shared" si="0"/>
        <v>15157</v>
      </c>
      <c r="H24" s="15"/>
      <c r="I24" s="16"/>
      <c r="J24" s="15">
        <f t="shared" si="1"/>
        <v>15157</v>
      </c>
      <c r="K24" s="15">
        <v>2713</v>
      </c>
      <c r="L24" s="15">
        <f t="shared" si="2"/>
        <v>17870</v>
      </c>
      <c r="M24" s="30"/>
      <c r="N24" s="99">
        <v>22.1</v>
      </c>
      <c r="O24" s="50">
        <f t="shared" si="3"/>
        <v>394927</v>
      </c>
      <c r="P24" s="50">
        <f t="shared" si="4"/>
        <v>334969.7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6781</v>
      </c>
      <c r="E26" s="15"/>
      <c r="F26" s="15"/>
      <c r="G26" s="15">
        <f t="shared" si="0"/>
        <v>6781</v>
      </c>
      <c r="H26" s="15">
        <v>494</v>
      </c>
      <c r="I26" s="16"/>
      <c r="J26" s="76">
        <f t="shared" si="1"/>
        <v>6287</v>
      </c>
      <c r="K26" s="76">
        <v>0</v>
      </c>
      <c r="L26" s="76">
        <f t="shared" si="2"/>
        <v>6287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22540</v>
      </c>
      <c r="E32" s="15"/>
      <c r="F32" s="15"/>
      <c r="G32" s="15">
        <f t="shared" si="0"/>
        <v>22540</v>
      </c>
      <c r="H32" s="15">
        <v>5767</v>
      </c>
      <c r="I32" s="16"/>
      <c r="J32" s="76">
        <f t="shared" si="1"/>
        <v>16773</v>
      </c>
      <c r="K32" s="76"/>
      <c r="L32" s="76">
        <f t="shared" si="2"/>
        <v>16773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15932</v>
      </c>
      <c r="E33" s="15"/>
      <c r="F33" s="15"/>
      <c r="G33" s="15">
        <f t="shared" si="0"/>
        <v>15932</v>
      </c>
      <c r="H33" s="15">
        <v>172</v>
      </c>
      <c r="I33" s="16"/>
      <c r="J33" s="76">
        <f t="shared" si="1"/>
        <v>15760</v>
      </c>
      <c r="K33" s="76">
        <v>206</v>
      </c>
      <c r="L33" s="76">
        <f t="shared" si="2"/>
        <v>15966</v>
      </c>
      <c r="M33" s="30"/>
      <c r="N33" s="99">
        <v>12.49</v>
      </c>
      <c r="O33" s="50">
        <f t="shared" si="3"/>
        <v>199415.34</v>
      </c>
      <c r="P33" s="50">
        <f t="shared" si="4"/>
        <v>196842.4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221</v>
      </c>
      <c r="E34" s="15"/>
      <c r="F34" s="15"/>
      <c r="G34" s="15">
        <f t="shared" si="0"/>
        <v>221</v>
      </c>
      <c r="H34" s="15"/>
      <c r="I34" s="16"/>
      <c r="J34" s="76">
        <f t="shared" si="1"/>
        <v>221</v>
      </c>
      <c r="K34" s="76">
        <v>-50</v>
      </c>
      <c r="L34" s="76">
        <f t="shared" si="2"/>
        <v>171</v>
      </c>
      <c r="M34" s="77"/>
      <c r="N34" s="99">
        <v>435</v>
      </c>
      <c r="O34" s="50">
        <f t="shared" si="3"/>
        <v>74385</v>
      </c>
      <c r="P34" s="50">
        <f t="shared" si="4"/>
        <v>96135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171</v>
      </c>
      <c r="E35" s="15"/>
      <c r="F35" s="15"/>
      <c r="G35" s="15">
        <f t="shared" si="0"/>
        <v>171</v>
      </c>
      <c r="H35" s="15">
        <v>16</v>
      </c>
      <c r="I35" s="16"/>
      <c r="J35" s="76">
        <f>G35-H35-I35</f>
        <v>155</v>
      </c>
      <c r="K35" s="76">
        <v>-50</v>
      </c>
      <c r="L35" s="76">
        <f t="shared" si="2"/>
        <v>105</v>
      </c>
      <c r="M35" s="84"/>
      <c r="N35" s="99">
        <v>730</v>
      </c>
      <c r="O35" s="50">
        <f t="shared" si="3"/>
        <v>76650</v>
      </c>
      <c r="P35" s="50">
        <f t="shared" si="4"/>
        <v>113150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364</v>
      </c>
      <c r="E36" s="15"/>
      <c r="F36" s="15"/>
      <c r="G36" s="15">
        <f t="shared" si="0"/>
        <v>364</v>
      </c>
      <c r="H36" s="16">
        <v>2</v>
      </c>
      <c r="I36" s="16"/>
      <c r="J36" s="76">
        <f t="shared" si="1"/>
        <v>362</v>
      </c>
      <c r="K36" s="76">
        <v>-125</v>
      </c>
      <c r="L36" s="76">
        <f t="shared" si="2"/>
        <v>237</v>
      </c>
      <c r="M36" s="84"/>
      <c r="N36" s="99">
        <v>155</v>
      </c>
      <c r="O36" s="50">
        <f t="shared" si="3"/>
        <v>36735</v>
      </c>
      <c r="P36" s="50">
        <f t="shared" si="4"/>
        <v>56110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1269</v>
      </c>
      <c r="E37" s="15">
        <v>600</v>
      </c>
      <c r="F37" s="15"/>
      <c r="G37" s="15">
        <f t="shared" si="0"/>
        <v>1869</v>
      </c>
      <c r="H37" s="16">
        <v>94</v>
      </c>
      <c r="I37" s="16"/>
      <c r="J37" s="76">
        <f t="shared" si="1"/>
        <v>1775</v>
      </c>
      <c r="K37" s="76">
        <v>0</v>
      </c>
      <c r="L37" s="76">
        <f t="shared" si="2"/>
        <v>1775</v>
      </c>
      <c r="M37" s="84"/>
      <c r="N37" s="99">
        <v>125</v>
      </c>
      <c r="O37" s="50">
        <f t="shared" si="3"/>
        <v>221875</v>
      </c>
      <c r="P37" s="50">
        <f t="shared" si="4"/>
        <v>221875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224</v>
      </c>
      <c r="E39" s="15"/>
      <c r="F39" s="15"/>
      <c r="G39" s="15">
        <f t="shared" si="0"/>
        <v>224</v>
      </c>
      <c r="H39" s="16"/>
      <c r="I39" s="16"/>
      <c r="J39" s="76">
        <f t="shared" si="1"/>
        <v>224</v>
      </c>
      <c r="K39" s="76">
        <v>-70</v>
      </c>
      <c r="L39" s="76">
        <f t="shared" si="2"/>
        <v>154</v>
      </c>
      <c r="M39" s="84"/>
      <c r="N39" s="99">
        <v>975</v>
      </c>
      <c r="O39" s="50">
        <f t="shared" si="3"/>
        <v>150150</v>
      </c>
      <c r="P39" s="50">
        <f t="shared" si="4"/>
        <v>218400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260</v>
      </c>
      <c r="E41" s="15"/>
      <c r="F41" s="15"/>
      <c r="G41" s="15">
        <f t="shared" si="0"/>
        <v>260</v>
      </c>
      <c r="H41" s="16"/>
      <c r="I41" s="16"/>
      <c r="J41" s="76">
        <f t="shared" si="1"/>
        <v>260</v>
      </c>
      <c r="K41" s="76">
        <v>500</v>
      </c>
      <c r="L41" s="76">
        <f t="shared" si="2"/>
        <v>760</v>
      </c>
      <c r="M41" s="84"/>
      <c r="N41" s="99">
        <v>125</v>
      </c>
      <c r="O41" s="50">
        <f t="shared" si="3"/>
        <v>95000</v>
      </c>
      <c r="P41" s="50">
        <f t="shared" si="4"/>
        <v>32500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16667</v>
      </c>
      <c r="E46" s="15"/>
      <c r="F46" s="15"/>
      <c r="G46" s="15">
        <f t="shared" si="0"/>
        <v>16667</v>
      </c>
      <c r="H46" s="16">
        <v>36</v>
      </c>
      <c r="I46" s="16"/>
      <c r="J46" s="76">
        <f t="shared" si="1"/>
        <v>16631</v>
      </c>
      <c r="K46" s="76">
        <v>-180</v>
      </c>
      <c r="L46" s="76">
        <f t="shared" si="2"/>
        <v>16451</v>
      </c>
      <c r="M46" s="84"/>
      <c r="N46" s="99">
        <v>275</v>
      </c>
      <c r="O46" s="50">
        <f t="shared" si="3"/>
        <v>4524025</v>
      </c>
      <c r="P46" s="50">
        <f t="shared" si="4"/>
        <v>4573525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91</v>
      </c>
      <c r="E49" s="15"/>
      <c r="F49" s="15"/>
      <c r="G49" s="15">
        <f t="shared" si="0"/>
        <v>91</v>
      </c>
      <c r="H49" s="15">
        <v>37</v>
      </c>
      <c r="I49" s="16"/>
      <c r="J49" s="76">
        <f t="shared" si="1"/>
        <v>54</v>
      </c>
      <c r="K49" s="76">
        <v>0</v>
      </c>
      <c r="L49" s="76">
        <f t="shared" si="2"/>
        <v>54</v>
      </c>
      <c r="M49" s="84"/>
      <c r="N49" s="99">
        <v>800</v>
      </c>
      <c r="O49" s="50">
        <f t="shared" si="3"/>
        <v>43200</v>
      </c>
      <c r="P49" s="50">
        <f t="shared" si="4"/>
        <v>43200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94</v>
      </c>
      <c r="E53" s="15"/>
      <c r="F53" s="15"/>
      <c r="G53" s="15">
        <f t="shared" si="0"/>
        <v>94</v>
      </c>
      <c r="H53" s="15">
        <v>1</v>
      </c>
      <c r="I53" s="20"/>
      <c r="J53" s="76">
        <f t="shared" si="1"/>
        <v>93</v>
      </c>
      <c r="K53" s="76">
        <v>0</v>
      </c>
      <c r="L53" s="76">
        <f t="shared" si="2"/>
        <v>93</v>
      </c>
      <c r="M53" s="84"/>
      <c r="N53" s="99">
        <v>1600</v>
      </c>
      <c r="O53" s="50">
        <f t="shared" si="3"/>
        <v>148800</v>
      </c>
      <c r="P53" s="50">
        <f t="shared" si="4"/>
        <v>148800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757</v>
      </c>
      <c r="E54" s="15"/>
      <c r="F54" s="15"/>
      <c r="G54" s="15">
        <f t="shared" si="0"/>
        <v>757</v>
      </c>
      <c r="H54" s="15"/>
      <c r="I54" s="16"/>
      <c r="J54" s="76">
        <f t="shared" si="1"/>
        <v>757</v>
      </c>
      <c r="K54" s="76">
        <v>-350</v>
      </c>
      <c r="L54" s="76">
        <f t="shared" si="2"/>
        <v>407</v>
      </c>
      <c r="M54" s="84"/>
      <c r="N54" s="99">
        <v>375</v>
      </c>
      <c r="O54" s="50">
        <f t="shared" si="3"/>
        <v>152625</v>
      </c>
      <c r="P54" s="50">
        <f t="shared" si="4"/>
        <v>283875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139</v>
      </c>
      <c r="E55" s="15"/>
      <c r="F55" s="15"/>
      <c r="G55" s="15">
        <f t="shared" si="0"/>
        <v>139</v>
      </c>
      <c r="H55" s="15"/>
      <c r="I55" s="21"/>
      <c r="J55" s="76">
        <f t="shared" si="1"/>
        <v>139</v>
      </c>
      <c r="K55" s="76">
        <v>9</v>
      </c>
      <c r="L55" s="76">
        <f t="shared" si="2"/>
        <v>148</v>
      </c>
      <c r="M55" s="30"/>
      <c r="N55" s="99">
        <v>425</v>
      </c>
      <c r="O55" s="50">
        <f t="shared" si="3"/>
        <v>62900</v>
      </c>
      <c r="P55" s="50">
        <f t="shared" si="4"/>
        <v>59075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194</v>
      </c>
      <c r="E56" s="15">
        <v>200</v>
      </c>
      <c r="F56" s="15"/>
      <c r="G56" s="15">
        <f t="shared" si="0"/>
        <v>394</v>
      </c>
      <c r="H56" s="15">
        <v>5</v>
      </c>
      <c r="I56" s="22"/>
      <c r="J56" s="76">
        <f t="shared" si="1"/>
        <v>389</v>
      </c>
      <c r="K56" s="76">
        <v>-200</v>
      </c>
      <c r="L56" s="76">
        <f t="shared" si="2"/>
        <v>189</v>
      </c>
      <c r="M56" s="84"/>
      <c r="N56" s="99">
        <v>390</v>
      </c>
      <c r="O56" s="50">
        <f t="shared" si="3"/>
        <v>73710</v>
      </c>
      <c r="P56" s="50">
        <f t="shared" si="4"/>
        <v>151710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52</v>
      </c>
      <c r="E58" s="15"/>
      <c r="F58" s="15"/>
      <c r="G58" s="15">
        <f t="shared" si="0"/>
        <v>52</v>
      </c>
      <c r="H58" s="15">
        <v>2</v>
      </c>
      <c r="I58" s="16"/>
      <c r="J58" s="76">
        <f t="shared" si="1"/>
        <v>50</v>
      </c>
      <c r="K58" s="76">
        <v>0</v>
      </c>
      <c r="L58" s="76">
        <f t="shared" si="2"/>
        <v>50</v>
      </c>
      <c r="M58" s="30"/>
      <c r="N58" s="99">
        <v>132</v>
      </c>
      <c r="O58" s="50">
        <f t="shared" si="3"/>
        <v>6600</v>
      </c>
      <c r="P58" s="50">
        <f t="shared" si="4"/>
        <v>6600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299</v>
      </c>
      <c r="E59" s="15"/>
      <c r="F59" s="15"/>
      <c r="G59" s="15">
        <f t="shared" si="0"/>
        <v>299</v>
      </c>
      <c r="H59" s="15">
        <v>10</v>
      </c>
      <c r="I59" s="16"/>
      <c r="J59" s="76">
        <f t="shared" si="1"/>
        <v>289</v>
      </c>
      <c r="K59" s="76">
        <v>0</v>
      </c>
      <c r="L59" s="76">
        <f t="shared" si="2"/>
        <v>289</v>
      </c>
      <c r="M59" s="84"/>
      <c r="N59" s="99">
        <v>570</v>
      </c>
      <c r="O59" s="50">
        <f t="shared" si="3"/>
        <v>164730</v>
      </c>
      <c r="P59" s="50">
        <f t="shared" si="4"/>
        <v>164730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16554</v>
      </c>
      <c r="E62" s="15"/>
      <c r="F62" s="15"/>
      <c r="G62" s="15">
        <f t="shared" si="0"/>
        <v>16554</v>
      </c>
      <c r="H62" s="15">
        <v>13</v>
      </c>
      <c r="I62" s="16"/>
      <c r="J62" s="76">
        <f t="shared" si="1"/>
        <v>16541</v>
      </c>
      <c r="K62" s="76">
        <v>187</v>
      </c>
      <c r="L62" s="76">
        <f t="shared" si="2"/>
        <v>16728</v>
      </c>
      <c r="M62" s="30"/>
      <c r="N62" s="99">
        <v>87.38</v>
      </c>
      <c r="O62" s="50">
        <f t="shared" si="3"/>
        <v>1461692.64</v>
      </c>
      <c r="P62" s="50">
        <f t="shared" si="4"/>
        <v>1445352.5799999998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22</v>
      </c>
      <c r="E63" s="15"/>
      <c r="F63" s="15"/>
      <c r="G63" s="15">
        <f t="shared" si="0"/>
        <v>22</v>
      </c>
      <c r="H63" s="15"/>
      <c r="I63" s="16"/>
      <c r="J63" s="76">
        <f t="shared" si="1"/>
        <v>22</v>
      </c>
      <c r="K63" s="76">
        <v>300</v>
      </c>
      <c r="L63" s="76">
        <f t="shared" si="2"/>
        <v>322</v>
      </c>
      <c r="M63" s="84"/>
      <c r="N63" s="99">
        <v>290</v>
      </c>
      <c r="O63" s="50">
        <f t="shared" si="3"/>
        <v>93380</v>
      </c>
      <c r="P63" s="50">
        <f t="shared" si="4"/>
        <v>6380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279</v>
      </c>
      <c r="E64" s="23"/>
      <c r="F64" s="23"/>
      <c r="G64" s="23">
        <f t="shared" si="0"/>
        <v>279</v>
      </c>
      <c r="H64" s="23">
        <v>19</v>
      </c>
      <c r="I64" s="23"/>
      <c r="J64" s="76">
        <f t="shared" si="1"/>
        <v>260</v>
      </c>
      <c r="K64" s="79">
        <v>100</v>
      </c>
      <c r="L64" s="76">
        <f t="shared" si="2"/>
        <v>360</v>
      </c>
      <c r="M64" s="30"/>
      <c r="N64" s="99">
        <v>70</v>
      </c>
      <c r="O64" s="50">
        <f t="shared" si="3"/>
        <v>25200</v>
      </c>
      <c r="P64" s="50">
        <f t="shared" si="4"/>
        <v>18200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486</v>
      </c>
      <c r="E65" s="24"/>
      <c r="F65" s="24"/>
      <c r="G65" s="16">
        <f t="shared" si="0"/>
        <v>486</v>
      </c>
      <c r="H65" s="24">
        <v>41</v>
      </c>
      <c r="I65" s="24"/>
      <c r="J65" s="76">
        <f t="shared" si="1"/>
        <v>445</v>
      </c>
      <c r="K65" s="80">
        <v>-480</v>
      </c>
      <c r="L65" s="76">
        <f t="shared" si="2"/>
        <v>-35</v>
      </c>
      <c r="M65" s="86"/>
      <c r="N65" s="99">
        <v>240</v>
      </c>
      <c r="O65" s="50">
        <f t="shared" si="3"/>
        <v>-8400</v>
      </c>
      <c r="P65" s="50">
        <f t="shared" si="4"/>
        <v>106800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368</v>
      </c>
      <c r="E66" s="24"/>
      <c r="F66" s="24"/>
      <c r="G66" s="16">
        <f t="shared" si="0"/>
        <v>368</v>
      </c>
      <c r="H66" s="24"/>
      <c r="I66" s="24"/>
      <c r="J66" s="76">
        <f t="shared" si="1"/>
        <v>368</v>
      </c>
      <c r="K66" s="81">
        <v>0</v>
      </c>
      <c r="L66" s="81">
        <f t="shared" si="2"/>
        <v>368</v>
      </c>
      <c r="M66" s="86"/>
      <c r="N66" s="99">
        <v>1100</v>
      </c>
      <c r="O66" s="50">
        <f t="shared" si="3"/>
        <v>404800</v>
      </c>
      <c r="P66" s="50">
        <f t="shared" si="4"/>
        <v>404800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-620</v>
      </c>
      <c r="E67" s="24"/>
      <c r="F67" s="24"/>
      <c r="G67" s="16">
        <f t="shared" si="0"/>
        <v>-620</v>
      </c>
      <c r="H67" s="24">
        <v>273</v>
      </c>
      <c r="I67" s="24"/>
      <c r="J67" s="76">
        <f t="shared" si="1"/>
        <v>-893</v>
      </c>
      <c r="K67" s="80">
        <v>1000</v>
      </c>
      <c r="L67" s="76">
        <f t="shared" si="2"/>
        <v>107</v>
      </c>
      <c r="M67" s="84"/>
      <c r="N67" s="99">
        <v>53</v>
      </c>
      <c r="O67" s="50">
        <f t="shared" si="3"/>
        <v>5671</v>
      </c>
      <c r="P67" s="50">
        <f t="shared" si="4"/>
        <v>-47329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459</v>
      </c>
      <c r="E70" s="24"/>
      <c r="F70" s="24"/>
      <c r="G70" s="16">
        <f t="shared" si="0"/>
        <v>459</v>
      </c>
      <c r="H70" s="24"/>
      <c r="I70" s="24"/>
      <c r="J70" s="76">
        <f t="shared" si="1"/>
        <v>459</v>
      </c>
      <c r="K70" s="80">
        <v>-153</v>
      </c>
      <c r="L70" s="76">
        <f t="shared" si="2"/>
        <v>306</v>
      </c>
      <c r="M70" s="86"/>
      <c r="N70" s="99">
        <v>260</v>
      </c>
      <c r="O70" s="50">
        <f t="shared" si="3"/>
        <v>79560</v>
      </c>
      <c r="P70" s="50">
        <f t="shared" si="4"/>
        <v>119340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4021</v>
      </c>
      <c r="E72" s="24"/>
      <c r="F72" s="24"/>
      <c r="G72" s="16">
        <f t="shared" si="0"/>
        <v>4021</v>
      </c>
      <c r="H72" s="24">
        <v>54</v>
      </c>
      <c r="I72" s="24"/>
      <c r="J72" s="76">
        <f t="shared" si="5"/>
        <v>3967</v>
      </c>
      <c r="K72" s="80">
        <v>-200</v>
      </c>
      <c r="L72" s="76">
        <f t="shared" si="2"/>
        <v>3767</v>
      </c>
      <c r="M72" s="30"/>
      <c r="N72" s="99">
        <v>39</v>
      </c>
      <c r="O72" s="50">
        <f t="shared" si="6"/>
        <v>146913</v>
      </c>
      <c r="P72" s="50">
        <f t="shared" si="7"/>
        <v>154713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19247</v>
      </c>
      <c r="E73" s="24"/>
      <c r="F73" s="24"/>
      <c r="G73" s="16">
        <f t="shared" si="0"/>
        <v>19247</v>
      </c>
      <c r="H73" s="24">
        <v>33</v>
      </c>
      <c r="I73" s="42"/>
      <c r="J73" s="76">
        <f t="shared" si="5"/>
        <v>19214</v>
      </c>
      <c r="K73" s="80">
        <v>0</v>
      </c>
      <c r="L73" s="76">
        <f t="shared" si="2"/>
        <v>19214</v>
      </c>
      <c r="M73" s="84"/>
      <c r="N73" s="99">
        <v>83</v>
      </c>
      <c r="O73" s="50">
        <f t="shared" si="6"/>
        <v>1594762</v>
      </c>
      <c r="P73" s="50">
        <f t="shared" si="7"/>
        <v>1594762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2888</v>
      </c>
      <c r="E75" s="24"/>
      <c r="F75" s="24"/>
      <c r="G75" s="16">
        <f t="shared" si="0"/>
        <v>2888</v>
      </c>
      <c r="H75" s="24">
        <v>201</v>
      </c>
      <c r="I75" s="24"/>
      <c r="J75" s="76">
        <f t="shared" si="5"/>
        <v>2687</v>
      </c>
      <c r="K75" s="80">
        <v>273</v>
      </c>
      <c r="L75" s="76">
        <f t="shared" si="2"/>
        <v>2960</v>
      </c>
      <c r="M75" s="86"/>
      <c r="N75" s="99">
        <v>16</v>
      </c>
      <c r="O75" s="50">
        <f t="shared" si="6"/>
        <v>47360</v>
      </c>
      <c r="P75" s="50">
        <f t="shared" si="7"/>
        <v>42992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438</v>
      </c>
      <c r="E76" s="24"/>
      <c r="F76" s="24"/>
      <c r="G76" s="16">
        <f t="shared" si="0"/>
        <v>438</v>
      </c>
      <c r="H76" s="24">
        <v>7</v>
      </c>
      <c r="I76" s="24"/>
      <c r="J76" s="76">
        <f t="shared" si="5"/>
        <v>431</v>
      </c>
      <c r="K76" s="80">
        <v>-250</v>
      </c>
      <c r="L76" s="76">
        <f t="shared" si="2"/>
        <v>181</v>
      </c>
      <c r="M76" s="30"/>
      <c r="N76" s="99">
        <v>400</v>
      </c>
      <c r="O76" s="50">
        <f t="shared" si="6"/>
        <v>72400</v>
      </c>
      <c r="P76" s="50">
        <f t="shared" si="7"/>
        <v>172400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180</v>
      </c>
      <c r="E78" s="24"/>
      <c r="F78" s="24"/>
      <c r="G78" s="16">
        <f t="shared" si="0"/>
        <v>180</v>
      </c>
      <c r="H78" s="24">
        <v>3</v>
      </c>
      <c r="I78" s="24"/>
      <c r="J78" s="76">
        <f t="shared" si="5"/>
        <v>177</v>
      </c>
      <c r="K78" s="80">
        <v>100</v>
      </c>
      <c r="L78" s="76">
        <f t="shared" si="2"/>
        <v>277</v>
      </c>
      <c r="M78" s="86"/>
      <c r="N78" s="99">
        <v>900</v>
      </c>
      <c r="O78" s="50">
        <f t="shared" si="6"/>
        <v>249300</v>
      </c>
      <c r="P78" s="50">
        <f t="shared" si="7"/>
        <v>159300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5871</v>
      </c>
      <c r="E83" s="98"/>
      <c r="F83" s="24"/>
      <c r="G83" s="16">
        <f t="shared" si="8"/>
        <v>5871</v>
      </c>
      <c r="H83" s="24"/>
      <c r="I83" s="95"/>
      <c r="J83" s="76">
        <f t="shared" si="5"/>
        <v>5871</v>
      </c>
      <c r="K83" s="81">
        <v>0</v>
      </c>
      <c r="L83" s="76">
        <f t="shared" si="2"/>
        <v>5871</v>
      </c>
      <c r="M83" s="85"/>
      <c r="N83" s="100">
        <v>64</v>
      </c>
      <c r="O83" s="50">
        <f t="shared" si="6"/>
        <v>375744</v>
      </c>
      <c r="P83" s="50">
        <f t="shared" si="7"/>
        <v>375744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22</v>
      </c>
      <c r="E84" s="89"/>
      <c r="F84" s="12"/>
      <c r="G84" s="45">
        <f t="shared" si="8"/>
        <v>22</v>
      </c>
      <c r="H84" s="12">
        <v>1</v>
      </c>
      <c r="I84" s="94"/>
      <c r="J84" s="82">
        <f t="shared" ref="J84:J97" si="9">D84+E84-H84-I84</f>
        <v>21</v>
      </c>
      <c r="K84" s="96">
        <v>0</v>
      </c>
      <c r="L84" s="82">
        <f t="shared" si="2"/>
        <v>21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/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285</v>
      </c>
      <c r="E86" s="90"/>
      <c r="F86" s="11"/>
      <c r="G86" s="16">
        <f t="shared" si="8"/>
        <v>285</v>
      </c>
      <c r="H86" s="88"/>
      <c r="I86" s="11"/>
      <c r="J86" s="76">
        <f t="shared" si="9"/>
        <v>285</v>
      </c>
      <c r="K86" s="97">
        <v>300</v>
      </c>
      <c r="L86" s="76">
        <f t="shared" si="2"/>
        <v>585</v>
      </c>
      <c r="M86" s="84"/>
      <c r="N86" s="99">
        <v>165</v>
      </c>
      <c r="O86" s="50">
        <f t="shared" si="6"/>
        <v>96525</v>
      </c>
      <c r="P86" s="50">
        <f t="shared" si="7"/>
        <v>47025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273</v>
      </c>
      <c r="E87" s="11"/>
      <c r="F87" s="11"/>
      <c r="G87" s="16">
        <f t="shared" si="8"/>
        <v>273</v>
      </c>
      <c r="H87" s="88"/>
      <c r="I87" s="11"/>
      <c r="J87" s="76">
        <f t="shared" si="9"/>
        <v>273</v>
      </c>
      <c r="K87" s="97">
        <v>-1</v>
      </c>
      <c r="L87" s="76">
        <f t="shared" si="2"/>
        <v>272</v>
      </c>
      <c r="M87" s="86"/>
      <c r="N87" s="99">
        <v>630</v>
      </c>
      <c r="O87" s="50">
        <f t="shared" si="6"/>
        <v>171360</v>
      </c>
      <c r="P87" s="50">
        <f t="shared" si="7"/>
        <v>171990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52</v>
      </c>
      <c r="E88" s="11"/>
      <c r="F88" s="11"/>
      <c r="G88" s="16">
        <f t="shared" si="8"/>
        <v>52</v>
      </c>
      <c r="H88" s="88"/>
      <c r="I88" s="11"/>
      <c r="J88" s="76">
        <f t="shared" si="9"/>
        <v>52</v>
      </c>
      <c r="K88" s="97">
        <v>8</v>
      </c>
      <c r="L88" s="76">
        <f t="shared" ref="L88:L97" si="10">J88+K88</f>
        <v>60</v>
      </c>
      <c r="M88" s="86"/>
      <c r="N88" s="99">
        <v>285</v>
      </c>
      <c r="O88" s="50">
        <f t="shared" si="6"/>
        <v>17100</v>
      </c>
      <c r="P88" s="50">
        <f t="shared" si="7"/>
        <v>14820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543</v>
      </c>
      <c r="E92" s="88"/>
      <c r="F92" s="11"/>
      <c r="G92" s="16">
        <f t="shared" si="8"/>
        <v>543</v>
      </c>
      <c r="H92" s="88">
        <v>19</v>
      </c>
      <c r="I92" s="11"/>
      <c r="J92" s="83">
        <f t="shared" si="9"/>
        <v>524</v>
      </c>
      <c r="K92" s="97">
        <v>0</v>
      </c>
      <c r="L92" s="76">
        <f t="shared" si="10"/>
        <v>524</v>
      </c>
      <c r="M92" s="86"/>
      <c r="N92" s="99">
        <v>113</v>
      </c>
      <c r="O92" s="50">
        <f t="shared" si="6"/>
        <v>59212</v>
      </c>
      <c r="P92" s="50">
        <f t="shared" si="7"/>
        <v>59212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316</v>
      </c>
      <c r="E94" s="88"/>
      <c r="F94" s="11"/>
      <c r="G94" s="16">
        <f t="shared" si="8"/>
        <v>316</v>
      </c>
      <c r="H94" s="88">
        <v>3</v>
      </c>
      <c r="I94" s="11"/>
      <c r="J94" s="83">
        <f t="shared" si="9"/>
        <v>313</v>
      </c>
      <c r="K94" s="97">
        <v>-50</v>
      </c>
      <c r="L94" s="76">
        <f t="shared" si="10"/>
        <v>263</v>
      </c>
      <c r="M94" s="86"/>
      <c r="N94" s="99">
        <v>950</v>
      </c>
      <c r="O94" s="50">
        <f t="shared" si="6"/>
        <v>249850</v>
      </c>
      <c r="P94" s="50">
        <f t="shared" si="7"/>
        <v>297350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1249593.2549999999</v>
      </c>
      <c r="E98" s="27">
        <f t="shared" ref="E98:L98" si="11">SUM(E6:E97)</f>
        <v>45920</v>
      </c>
      <c r="F98" s="27">
        <f t="shared" si="11"/>
        <v>207</v>
      </c>
      <c r="G98" s="27">
        <f t="shared" si="11"/>
        <v>1295306.2549999999</v>
      </c>
      <c r="H98" s="27">
        <f t="shared" si="11"/>
        <v>35243</v>
      </c>
      <c r="I98" s="27">
        <f t="shared" si="11"/>
        <v>0</v>
      </c>
      <c r="J98" s="27">
        <f t="shared" si="11"/>
        <v>1260063.2549999999</v>
      </c>
      <c r="K98" s="27">
        <f t="shared" si="11"/>
        <v>-577909</v>
      </c>
      <c r="L98" s="27">
        <f t="shared" si="11"/>
        <v>682154.25499999989</v>
      </c>
      <c r="M98" s="27">
        <f>SUM(M6:M96)</f>
        <v>0</v>
      </c>
      <c r="N98" s="51"/>
      <c r="O98" s="51">
        <f t="shared" ref="O98" si="12">SUM(O6:O97)</f>
        <v>28337576.630000003</v>
      </c>
      <c r="P98" s="51">
        <f>SUM(P6:P97)</f>
        <v>40710947.329999998</v>
      </c>
      <c r="Q98" s="57">
        <f>O98-P98</f>
        <v>-12373370.699999996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0" t="s">
        <v>115</v>
      </c>
      <c r="M100" s="110"/>
      <c r="O100" s="55" t="s">
        <v>110</v>
      </c>
      <c r="P100" s="54">
        <v>79909923</v>
      </c>
    </row>
    <row r="101" spans="1:22">
      <c r="P101" s="54">
        <f>P100-P98</f>
        <v>39198975.670000002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6" activePane="bottomLeft" state="frozen"/>
      <selection pane="bottomLeft" activeCell="M95" sqref="M95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145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-7436</v>
      </c>
      <c r="E6" s="15">
        <v>31425</v>
      </c>
      <c r="F6" s="16"/>
      <c r="G6" s="15">
        <f>D6+E6-F6</f>
        <v>23989</v>
      </c>
      <c r="H6" s="15">
        <v>25242</v>
      </c>
      <c r="I6" s="16"/>
      <c r="J6" s="15">
        <f>G6-H6-I6</f>
        <v>-1253</v>
      </c>
      <c r="K6" s="15">
        <v>8000</v>
      </c>
      <c r="L6" s="15">
        <f>J6+K6</f>
        <v>6747</v>
      </c>
      <c r="M6" s="30" t="s">
        <v>75</v>
      </c>
      <c r="N6" s="99">
        <v>21.5</v>
      </c>
      <c r="O6" s="50">
        <f>L6*N6</f>
        <v>145060.5</v>
      </c>
      <c r="P6" s="50">
        <f>J6*N6</f>
        <v>-26939.5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83696</v>
      </c>
      <c r="E7" s="15">
        <v>29902</v>
      </c>
      <c r="F7" s="15"/>
      <c r="G7" s="15">
        <f t="shared" ref="G7:G80" si="0">D7+E7-F7</f>
        <v>113598</v>
      </c>
      <c r="H7" s="15">
        <v>9096</v>
      </c>
      <c r="I7" s="15"/>
      <c r="J7" s="15">
        <f t="shared" ref="J7:J70" si="1">G7-H7-I7</f>
        <v>104502</v>
      </c>
      <c r="K7" s="15">
        <v>-5000</v>
      </c>
      <c r="L7" s="15">
        <f t="shared" ref="L7:L87" si="2">J7+K7</f>
        <v>99502</v>
      </c>
      <c r="M7" s="30" t="s">
        <v>75</v>
      </c>
      <c r="N7" s="99">
        <v>38</v>
      </c>
      <c r="O7" s="50">
        <f t="shared" ref="O7:O70" si="3">L7*N7</f>
        <v>3781076</v>
      </c>
      <c r="P7" s="50">
        <f t="shared" ref="P7:P70" si="4">J7*N7</f>
        <v>3971076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37793</v>
      </c>
      <c r="E8" s="15"/>
      <c r="F8" s="15"/>
      <c r="G8" s="15">
        <f t="shared" si="0"/>
        <v>37793</v>
      </c>
      <c r="H8" s="15">
        <v>5476</v>
      </c>
      <c r="I8" s="15"/>
      <c r="J8" s="15">
        <f t="shared" si="1"/>
        <v>32317</v>
      </c>
      <c r="K8" s="15">
        <v>0</v>
      </c>
      <c r="L8" s="15">
        <f t="shared" si="2"/>
        <v>32317</v>
      </c>
      <c r="M8" s="30" t="s">
        <v>75</v>
      </c>
      <c r="N8" s="99">
        <v>12</v>
      </c>
      <c r="O8" s="50">
        <f t="shared" si="3"/>
        <v>387804</v>
      </c>
      <c r="P8" s="50">
        <f t="shared" si="4"/>
        <v>387804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662642</v>
      </c>
      <c r="E10" s="15"/>
      <c r="F10" s="15"/>
      <c r="G10" s="15">
        <f t="shared" si="0"/>
        <v>662642</v>
      </c>
      <c r="H10" s="15">
        <v>7015</v>
      </c>
      <c r="I10" s="15"/>
      <c r="J10" s="15">
        <f t="shared" si="1"/>
        <v>655627</v>
      </c>
      <c r="K10" s="15">
        <v>-607000</v>
      </c>
      <c r="L10" s="15">
        <f t="shared" si="2"/>
        <v>48627</v>
      </c>
      <c r="M10" s="30"/>
      <c r="N10" s="99">
        <v>23.09</v>
      </c>
      <c r="O10" s="50">
        <f t="shared" si="3"/>
        <v>1122797.43</v>
      </c>
      <c r="P10" s="50">
        <f t="shared" si="4"/>
        <v>15138427.43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6356</v>
      </c>
      <c r="E11" s="15"/>
      <c r="F11" s="15"/>
      <c r="G11" s="15">
        <f t="shared" si="0"/>
        <v>6356</v>
      </c>
      <c r="H11" s="15">
        <v>1941</v>
      </c>
      <c r="I11" s="15"/>
      <c r="J11" s="15">
        <f t="shared" si="1"/>
        <v>4415</v>
      </c>
      <c r="K11" s="15">
        <v>2000</v>
      </c>
      <c r="L11" s="15">
        <f t="shared" si="2"/>
        <v>6415</v>
      </c>
      <c r="M11" s="30" t="s">
        <v>75</v>
      </c>
      <c r="N11" s="99">
        <v>16.5</v>
      </c>
      <c r="O11" s="50">
        <f t="shared" si="3"/>
        <v>105847.5</v>
      </c>
      <c r="P11" s="50">
        <f t="shared" si="4"/>
        <v>72847.5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3489</v>
      </c>
      <c r="E13" s="15"/>
      <c r="F13" s="15"/>
      <c r="G13" s="15">
        <f t="shared" si="0"/>
        <v>3489</v>
      </c>
      <c r="H13" s="15">
        <v>2028</v>
      </c>
      <c r="I13" s="15"/>
      <c r="J13" s="15">
        <f t="shared" si="1"/>
        <v>1461</v>
      </c>
      <c r="K13" s="15">
        <v>5000</v>
      </c>
      <c r="L13" s="15">
        <f t="shared" si="2"/>
        <v>6461</v>
      </c>
      <c r="M13" s="30" t="s">
        <v>75</v>
      </c>
      <c r="N13" s="99">
        <v>27.5</v>
      </c>
      <c r="O13" s="50">
        <f t="shared" si="3"/>
        <v>177677.5</v>
      </c>
      <c r="P13" s="50">
        <f t="shared" si="4"/>
        <v>40177.5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12728</v>
      </c>
      <c r="E14" s="15"/>
      <c r="F14" s="15"/>
      <c r="G14" s="15">
        <f t="shared" si="0"/>
        <v>12728</v>
      </c>
      <c r="H14" s="15">
        <v>58</v>
      </c>
      <c r="I14" s="16"/>
      <c r="J14" s="15">
        <f t="shared" si="1"/>
        <v>12670</v>
      </c>
      <c r="K14" s="15">
        <v>-1000</v>
      </c>
      <c r="L14" s="15">
        <f t="shared" si="2"/>
        <v>11670</v>
      </c>
      <c r="M14" s="30"/>
      <c r="N14" s="99">
        <v>59</v>
      </c>
      <c r="O14" s="50">
        <f t="shared" si="3"/>
        <v>688530</v>
      </c>
      <c r="P14" s="50">
        <f t="shared" si="4"/>
        <v>747530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28102</v>
      </c>
      <c r="E16" s="29"/>
      <c r="F16" s="15"/>
      <c r="G16" s="15">
        <f t="shared" si="0"/>
        <v>28102</v>
      </c>
      <c r="H16" s="15">
        <v>1140</v>
      </c>
      <c r="I16" s="16"/>
      <c r="J16" s="15">
        <f t="shared" si="1"/>
        <v>26962</v>
      </c>
      <c r="K16" s="15">
        <v>0</v>
      </c>
      <c r="L16" s="15">
        <f>J16+K16</f>
        <v>26962</v>
      </c>
      <c r="M16" s="30"/>
      <c r="N16" s="99">
        <v>43.25</v>
      </c>
      <c r="O16" s="50">
        <f t="shared" si="3"/>
        <v>1166106.5</v>
      </c>
      <c r="P16" s="50">
        <f t="shared" si="4"/>
        <v>1166106.5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11919</v>
      </c>
      <c r="E19" s="15"/>
      <c r="F19" s="15"/>
      <c r="G19" s="15">
        <f t="shared" si="0"/>
        <v>11919</v>
      </c>
      <c r="H19" s="15">
        <v>870</v>
      </c>
      <c r="I19" s="16"/>
      <c r="J19" s="15">
        <f t="shared" si="1"/>
        <v>11049</v>
      </c>
      <c r="K19" s="15">
        <v>1000</v>
      </c>
      <c r="L19" s="15">
        <f t="shared" si="2"/>
        <v>12049</v>
      </c>
      <c r="M19" s="30"/>
      <c r="N19" s="99">
        <v>22.8</v>
      </c>
      <c r="O19" s="50">
        <f t="shared" si="3"/>
        <v>274717.2</v>
      </c>
      <c r="P19" s="50">
        <f t="shared" si="4"/>
        <v>251917.2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7420</v>
      </c>
      <c r="E20" s="15"/>
      <c r="F20" s="15"/>
      <c r="G20" s="15">
        <f t="shared" si="0"/>
        <v>7420</v>
      </c>
      <c r="H20" s="15">
        <v>173</v>
      </c>
      <c r="I20" s="16"/>
      <c r="J20" s="15">
        <f t="shared" si="1"/>
        <v>7247</v>
      </c>
      <c r="K20" s="15">
        <v>0</v>
      </c>
      <c r="L20" s="15">
        <f t="shared" si="2"/>
        <v>7247</v>
      </c>
      <c r="M20" s="30" t="s">
        <v>75</v>
      </c>
      <c r="N20" s="99">
        <v>20</v>
      </c>
      <c r="O20" s="50">
        <f t="shared" si="3"/>
        <v>144940</v>
      </c>
      <c r="P20" s="50">
        <f t="shared" si="4"/>
        <v>144940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6155</v>
      </c>
      <c r="E21" s="15"/>
      <c r="F21" s="15"/>
      <c r="G21" s="15">
        <f t="shared" si="0"/>
        <v>6155</v>
      </c>
      <c r="H21" s="15">
        <v>430</v>
      </c>
      <c r="I21" s="16"/>
      <c r="J21" s="15">
        <f t="shared" si="1"/>
        <v>5725</v>
      </c>
      <c r="K21" s="15">
        <v>0</v>
      </c>
      <c r="L21" s="15">
        <f t="shared" si="2"/>
        <v>5725</v>
      </c>
      <c r="M21" s="30"/>
      <c r="N21" s="99">
        <v>8.5</v>
      </c>
      <c r="O21" s="50">
        <f t="shared" si="3"/>
        <v>48662.5</v>
      </c>
      <c r="P21" s="50">
        <f t="shared" si="4"/>
        <v>48662.5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246477</v>
      </c>
      <c r="E22" s="15"/>
      <c r="F22" s="15"/>
      <c r="G22" s="15">
        <f t="shared" si="0"/>
        <v>246477</v>
      </c>
      <c r="H22" s="15">
        <v>2470</v>
      </c>
      <c r="I22" s="16"/>
      <c r="J22" s="15">
        <f t="shared" si="1"/>
        <v>244007</v>
      </c>
      <c r="K22" s="15">
        <v>8000</v>
      </c>
      <c r="L22" s="15">
        <f t="shared" si="2"/>
        <v>252007</v>
      </c>
      <c r="M22" s="30"/>
      <c r="N22" s="99">
        <v>8.5</v>
      </c>
      <c r="O22" s="50">
        <f t="shared" si="3"/>
        <v>2142059.5</v>
      </c>
      <c r="P22" s="50">
        <f t="shared" si="4"/>
        <v>2074059.5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897</v>
      </c>
      <c r="E23" s="15"/>
      <c r="F23" s="15"/>
      <c r="G23" s="15">
        <f t="shared" si="0"/>
        <v>897</v>
      </c>
      <c r="H23" s="15">
        <v>708</v>
      </c>
      <c r="I23" s="16"/>
      <c r="J23" s="15">
        <f t="shared" si="1"/>
        <v>189</v>
      </c>
      <c r="K23" s="15">
        <v>1500</v>
      </c>
      <c r="L23" s="15">
        <f t="shared" si="2"/>
        <v>1689</v>
      </c>
      <c r="M23" s="30" t="s">
        <v>75</v>
      </c>
      <c r="N23" s="99">
        <v>82</v>
      </c>
      <c r="O23" s="50">
        <f t="shared" si="3"/>
        <v>138498</v>
      </c>
      <c r="P23" s="50">
        <f t="shared" si="4"/>
        <v>15498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15157</v>
      </c>
      <c r="E24" s="29"/>
      <c r="F24" s="29"/>
      <c r="G24" s="15">
        <f t="shared" si="0"/>
        <v>15157</v>
      </c>
      <c r="H24" s="15">
        <v>3119</v>
      </c>
      <c r="I24" s="16"/>
      <c r="J24" s="15">
        <f t="shared" si="1"/>
        <v>12038</v>
      </c>
      <c r="K24" s="15">
        <v>2713</v>
      </c>
      <c r="L24" s="15">
        <f t="shared" si="2"/>
        <v>14751</v>
      </c>
      <c r="M24" s="30"/>
      <c r="N24" s="99">
        <v>22.1</v>
      </c>
      <c r="O24" s="50">
        <f t="shared" si="3"/>
        <v>325997.10000000003</v>
      </c>
      <c r="P24" s="50">
        <f t="shared" si="4"/>
        <v>266039.8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6287</v>
      </c>
      <c r="E26" s="15"/>
      <c r="F26" s="15"/>
      <c r="G26" s="15">
        <f t="shared" si="0"/>
        <v>6287</v>
      </c>
      <c r="H26" s="15">
        <v>1745</v>
      </c>
      <c r="I26" s="16"/>
      <c r="J26" s="76">
        <f t="shared" si="1"/>
        <v>4542</v>
      </c>
      <c r="K26" s="76">
        <v>0</v>
      </c>
      <c r="L26" s="76">
        <f t="shared" si="2"/>
        <v>4542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16773</v>
      </c>
      <c r="E32" s="15"/>
      <c r="F32" s="15"/>
      <c r="G32" s="15">
        <f t="shared" si="0"/>
        <v>16773</v>
      </c>
      <c r="H32" s="15">
        <v>4699</v>
      </c>
      <c r="I32" s="16"/>
      <c r="J32" s="76">
        <f t="shared" si="1"/>
        <v>12074</v>
      </c>
      <c r="K32" s="76"/>
      <c r="L32" s="76">
        <f t="shared" si="2"/>
        <v>12074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15760</v>
      </c>
      <c r="E33" s="15"/>
      <c r="F33" s="15"/>
      <c r="G33" s="15">
        <f t="shared" si="0"/>
        <v>15760</v>
      </c>
      <c r="H33" s="15">
        <v>226</v>
      </c>
      <c r="I33" s="16"/>
      <c r="J33" s="76">
        <f t="shared" si="1"/>
        <v>15534</v>
      </c>
      <c r="K33" s="76">
        <v>206</v>
      </c>
      <c r="L33" s="76">
        <f t="shared" si="2"/>
        <v>15740</v>
      </c>
      <c r="M33" s="30"/>
      <c r="N33" s="99">
        <v>12.49</v>
      </c>
      <c r="O33" s="50">
        <f t="shared" si="3"/>
        <v>196592.6</v>
      </c>
      <c r="P33" s="50">
        <f t="shared" si="4"/>
        <v>194019.66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221</v>
      </c>
      <c r="E34" s="15"/>
      <c r="F34" s="15"/>
      <c r="G34" s="15">
        <f t="shared" si="0"/>
        <v>221</v>
      </c>
      <c r="H34" s="15">
        <v>3</v>
      </c>
      <c r="I34" s="16"/>
      <c r="J34" s="76">
        <f t="shared" si="1"/>
        <v>218</v>
      </c>
      <c r="K34" s="76">
        <v>-50</v>
      </c>
      <c r="L34" s="76">
        <f t="shared" si="2"/>
        <v>168</v>
      </c>
      <c r="M34" s="77"/>
      <c r="N34" s="99">
        <v>435</v>
      </c>
      <c r="O34" s="50">
        <f t="shared" si="3"/>
        <v>73080</v>
      </c>
      <c r="P34" s="50">
        <f t="shared" si="4"/>
        <v>94830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155</v>
      </c>
      <c r="E35" s="15"/>
      <c r="F35" s="15"/>
      <c r="G35" s="15">
        <f t="shared" si="0"/>
        <v>155</v>
      </c>
      <c r="H35" s="15">
        <v>3</v>
      </c>
      <c r="I35" s="16"/>
      <c r="J35" s="76">
        <f>G35-H35-I35</f>
        <v>152</v>
      </c>
      <c r="K35" s="76">
        <v>-50</v>
      </c>
      <c r="L35" s="76">
        <f t="shared" si="2"/>
        <v>102</v>
      </c>
      <c r="M35" s="84"/>
      <c r="N35" s="99">
        <v>730</v>
      </c>
      <c r="O35" s="50">
        <f t="shared" si="3"/>
        <v>74460</v>
      </c>
      <c r="P35" s="50">
        <f t="shared" si="4"/>
        <v>110960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362</v>
      </c>
      <c r="E36" s="15"/>
      <c r="F36" s="15"/>
      <c r="G36" s="15">
        <f t="shared" si="0"/>
        <v>362</v>
      </c>
      <c r="H36" s="16">
        <v>4</v>
      </c>
      <c r="I36" s="16"/>
      <c r="J36" s="76">
        <f t="shared" si="1"/>
        <v>358</v>
      </c>
      <c r="K36" s="76">
        <v>-125</v>
      </c>
      <c r="L36" s="76">
        <f t="shared" si="2"/>
        <v>233</v>
      </c>
      <c r="M36" s="84"/>
      <c r="N36" s="99">
        <v>155</v>
      </c>
      <c r="O36" s="50">
        <f t="shared" si="3"/>
        <v>36115</v>
      </c>
      <c r="P36" s="50">
        <f t="shared" si="4"/>
        <v>55490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1775</v>
      </c>
      <c r="E37" s="15"/>
      <c r="F37" s="15"/>
      <c r="G37" s="15">
        <f t="shared" si="0"/>
        <v>1775</v>
      </c>
      <c r="H37" s="16">
        <v>79</v>
      </c>
      <c r="I37" s="16"/>
      <c r="J37" s="76">
        <f t="shared" si="1"/>
        <v>1696</v>
      </c>
      <c r="K37" s="76">
        <v>0</v>
      </c>
      <c r="L37" s="76">
        <f t="shared" si="2"/>
        <v>1696</v>
      </c>
      <c r="M37" s="84"/>
      <c r="N37" s="99">
        <v>125</v>
      </c>
      <c r="O37" s="50">
        <f t="shared" si="3"/>
        <v>212000</v>
      </c>
      <c r="P37" s="50">
        <f t="shared" si="4"/>
        <v>212000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224</v>
      </c>
      <c r="E39" s="15"/>
      <c r="F39" s="15"/>
      <c r="G39" s="15">
        <f t="shared" si="0"/>
        <v>224</v>
      </c>
      <c r="H39" s="16">
        <v>3</v>
      </c>
      <c r="I39" s="16"/>
      <c r="J39" s="76">
        <f t="shared" si="1"/>
        <v>221</v>
      </c>
      <c r="K39" s="76">
        <v>-70</v>
      </c>
      <c r="L39" s="76">
        <f t="shared" si="2"/>
        <v>151</v>
      </c>
      <c r="M39" s="84"/>
      <c r="N39" s="99">
        <v>975</v>
      </c>
      <c r="O39" s="50">
        <f t="shared" si="3"/>
        <v>147225</v>
      </c>
      <c r="P39" s="50">
        <f t="shared" si="4"/>
        <v>215475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260</v>
      </c>
      <c r="E41" s="15"/>
      <c r="F41" s="15"/>
      <c r="G41" s="15">
        <f t="shared" si="0"/>
        <v>260</v>
      </c>
      <c r="H41" s="16">
        <v>5</v>
      </c>
      <c r="I41" s="16"/>
      <c r="J41" s="76">
        <f t="shared" si="1"/>
        <v>255</v>
      </c>
      <c r="K41" s="76">
        <v>500</v>
      </c>
      <c r="L41" s="76">
        <f t="shared" si="2"/>
        <v>755</v>
      </c>
      <c r="M41" s="84"/>
      <c r="N41" s="99">
        <v>125</v>
      </c>
      <c r="O41" s="50">
        <f t="shared" si="3"/>
        <v>94375</v>
      </c>
      <c r="P41" s="50">
        <f t="shared" si="4"/>
        <v>31875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16631</v>
      </c>
      <c r="E46" s="15"/>
      <c r="F46" s="15"/>
      <c r="G46" s="15">
        <f t="shared" si="0"/>
        <v>16631</v>
      </c>
      <c r="H46" s="16">
        <v>75</v>
      </c>
      <c r="I46" s="16"/>
      <c r="J46" s="76">
        <f t="shared" si="1"/>
        <v>16556</v>
      </c>
      <c r="K46" s="76">
        <v>-180</v>
      </c>
      <c r="L46" s="76">
        <f t="shared" si="2"/>
        <v>16376</v>
      </c>
      <c r="M46" s="84"/>
      <c r="N46" s="99">
        <v>275</v>
      </c>
      <c r="O46" s="50">
        <f t="shared" si="3"/>
        <v>4503400</v>
      </c>
      <c r="P46" s="50">
        <f t="shared" si="4"/>
        <v>4552900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54</v>
      </c>
      <c r="E49" s="15"/>
      <c r="F49" s="15"/>
      <c r="G49" s="15">
        <f t="shared" si="0"/>
        <v>54</v>
      </c>
      <c r="H49" s="15">
        <v>32</v>
      </c>
      <c r="I49" s="16"/>
      <c r="J49" s="76">
        <f t="shared" si="1"/>
        <v>22</v>
      </c>
      <c r="K49" s="76">
        <v>0</v>
      </c>
      <c r="L49" s="76">
        <f t="shared" si="2"/>
        <v>22</v>
      </c>
      <c r="M49" s="84"/>
      <c r="N49" s="99">
        <v>800</v>
      </c>
      <c r="O49" s="50">
        <f t="shared" si="3"/>
        <v>17600</v>
      </c>
      <c r="P49" s="50">
        <f t="shared" si="4"/>
        <v>17600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93</v>
      </c>
      <c r="E53" s="15"/>
      <c r="F53" s="15"/>
      <c r="G53" s="15">
        <f t="shared" si="0"/>
        <v>93</v>
      </c>
      <c r="H53" s="15">
        <v>2</v>
      </c>
      <c r="I53" s="20"/>
      <c r="J53" s="76">
        <f t="shared" si="1"/>
        <v>91</v>
      </c>
      <c r="K53" s="76">
        <v>0</v>
      </c>
      <c r="L53" s="76">
        <f t="shared" si="2"/>
        <v>91</v>
      </c>
      <c r="M53" s="84"/>
      <c r="N53" s="99">
        <v>1600</v>
      </c>
      <c r="O53" s="50">
        <f t="shared" si="3"/>
        <v>145600</v>
      </c>
      <c r="P53" s="50">
        <f t="shared" si="4"/>
        <v>145600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757</v>
      </c>
      <c r="E54" s="15"/>
      <c r="F54" s="15"/>
      <c r="G54" s="15">
        <f t="shared" si="0"/>
        <v>757</v>
      </c>
      <c r="H54" s="15"/>
      <c r="I54" s="16"/>
      <c r="J54" s="76">
        <f t="shared" si="1"/>
        <v>757</v>
      </c>
      <c r="K54" s="76">
        <v>-350</v>
      </c>
      <c r="L54" s="76">
        <f t="shared" si="2"/>
        <v>407</v>
      </c>
      <c r="M54" s="84"/>
      <c r="N54" s="99">
        <v>375</v>
      </c>
      <c r="O54" s="50">
        <f t="shared" si="3"/>
        <v>152625</v>
      </c>
      <c r="P54" s="50">
        <f t="shared" si="4"/>
        <v>283875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139</v>
      </c>
      <c r="E55" s="15"/>
      <c r="F55" s="15"/>
      <c r="G55" s="15">
        <f t="shared" si="0"/>
        <v>139</v>
      </c>
      <c r="H55" s="15"/>
      <c r="I55" s="21"/>
      <c r="J55" s="76">
        <f t="shared" si="1"/>
        <v>139</v>
      </c>
      <c r="K55" s="76">
        <v>9</v>
      </c>
      <c r="L55" s="76">
        <f t="shared" si="2"/>
        <v>148</v>
      </c>
      <c r="M55" s="30"/>
      <c r="N55" s="99">
        <v>425</v>
      </c>
      <c r="O55" s="50">
        <f t="shared" si="3"/>
        <v>62900</v>
      </c>
      <c r="P55" s="50">
        <f t="shared" si="4"/>
        <v>59075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389</v>
      </c>
      <c r="E56" s="15"/>
      <c r="F56" s="15"/>
      <c r="G56" s="15">
        <f t="shared" si="0"/>
        <v>389</v>
      </c>
      <c r="H56" s="15">
        <v>11</v>
      </c>
      <c r="I56" s="22"/>
      <c r="J56" s="76">
        <f t="shared" si="1"/>
        <v>378</v>
      </c>
      <c r="K56" s="76">
        <v>-200</v>
      </c>
      <c r="L56" s="76">
        <f t="shared" si="2"/>
        <v>178</v>
      </c>
      <c r="M56" s="84"/>
      <c r="N56" s="99">
        <v>390</v>
      </c>
      <c r="O56" s="50">
        <f t="shared" si="3"/>
        <v>69420</v>
      </c>
      <c r="P56" s="50">
        <f t="shared" si="4"/>
        <v>147420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50</v>
      </c>
      <c r="E58" s="15"/>
      <c r="F58" s="15"/>
      <c r="G58" s="15">
        <f t="shared" si="0"/>
        <v>50</v>
      </c>
      <c r="H58" s="15">
        <v>9</v>
      </c>
      <c r="I58" s="16"/>
      <c r="J58" s="76">
        <f t="shared" si="1"/>
        <v>41</v>
      </c>
      <c r="K58" s="76">
        <v>0</v>
      </c>
      <c r="L58" s="76">
        <f t="shared" si="2"/>
        <v>41</v>
      </c>
      <c r="M58" s="30"/>
      <c r="N58" s="99">
        <v>132</v>
      </c>
      <c r="O58" s="50">
        <f t="shared" si="3"/>
        <v>5412</v>
      </c>
      <c r="P58" s="50">
        <f t="shared" si="4"/>
        <v>5412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289</v>
      </c>
      <c r="E59" s="15"/>
      <c r="F59" s="15"/>
      <c r="G59" s="15">
        <f t="shared" si="0"/>
        <v>289</v>
      </c>
      <c r="H59" s="15">
        <v>15</v>
      </c>
      <c r="I59" s="16"/>
      <c r="J59" s="76">
        <f t="shared" si="1"/>
        <v>274</v>
      </c>
      <c r="K59" s="76">
        <v>0</v>
      </c>
      <c r="L59" s="76">
        <f t="shared" si="2"/>
        <v>274</v>
      </c>
      <c r="M59" s="84"/>
      <c r="N59" s="99">
        <v>570</v>
      </c>
      <c r="O59" s="50">
        <f t="shared" si="3"/>
        <v>156180</v>
      </c>
      <c r="P59" s="50">
        <f t="shared" si="4"/>
        <v>156180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16541</v>
      </c>
      <c r="E62" s="15"/>
      <c r="F62" s="15"/>
      <c r="G62" s="15">
        <f t="shared" si="0"/>
        <v>16541</v>
      </c>
      <c r="H62" s="15">
        <v>40</v>
      </c>
      <c r="I62" s="16"/>
      <c r="J62" s="76">
        <f t="shared" si="1"/>
        <v>16501</v>
      </c>
      <c r="K62" s="76">
        <v>187</v>
      </c>
      <c r="L62" s="76">
        <f t="shared" si="2"/>
        <v>16688</v>
      </c>
      <c r="M62" s="30"/>
      <c r="N62" s="99">
        <v>87.38</v>
      </c>
      <c r="O62" s="50">
        <f t="shared" si="3"/>
        <v>1458197.44</v>
      </c>
      <c r="P62" s="50">
        <f t="shared" si="4"/>
        <v>1441857.38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22</v>
      </c>
      <c r="E63" s="15"/>
      <c r="F63" s="15"/>
      <c r="G63" s="15">
        <f t="shared" si="0"/>
        <v>22</v>
      </c>
      <c r="H63" s="15"/>
      <c r="I63" s="16"/>
      <c r="J63" s="76">
        <f t="shared" si="1"/>
        <v>22</v>
      </c>
      <c r="K63" s="76">
        <v>300</v>
      </c>
      <c r="L63" s="76">
        <f t="shared" si="2"/>
        <v>322</v>
      </c>
      <c r="M63" s="84"/>
      <c r="N63" s="99">
        <v>290</v>
      </c>
      <c r="O63" s="50">
        <f t="shared" si="3"/>
        <v>93380</v>
      </c>
      <c r="P63" s="50">
        <f t="shared" si="4"/>
        <v>6380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260</v>
      </c>
      <c r="E64" s="23"/>
      <c r="F64" s="23"/>
      <c r="G64" s="23">
        <f t="shared" si="0"/>
        <v>260</v>
      </c>
      <c r="H64" s="23">
        <v>16</v>
      </c>
      <c r="I64" s="23"/>
      <c r="J64" s="76">
        <f t="shared" si="1"/>
        <v>244</v>
      </c>
      <c r="K64" s="79">
        <v>100</v>
      </c>
      <c r="L64" s="76">
        <f t="shared" si="2"/>
        <v>344</v>
      </c>
      <c r="M64" s="30"/>
      <c r="N64" s="99">
        <v>70</v>
      </c>
      <c r="O64" s="50">
        <f t="shared" si="3"/>
        <v>24080</v>
      </c>
      <c r="P64" s="50">
        <f t="shared" si="4"/>
        <v>17080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445</v>
      </c>
      <c r="E65" s="24"/>
      <c r="F65" s="24"/>
      <c r="G65" s="16">
        <f t="shared" si="0"/>
        <v>445</v>
      </c>
      <c r="H65" s="24">
        <v>62</v>
      </c>
      <c r="I65" s="24"/>
      <c r="J65" s="76">
        <f t="shared" si="1"/>
        <v>383</v>
      </c>
      <c r="K65" s="80">
        <v>-200</v>
      </c>
      <c r="L65" s="76">
        <f t="shared" si="2"/>
        <v>183</v>
      </c>
      <c r="M65" s="86"/>
      <c r="N65" s="99">
        <v>240</v>
      </c>
      <c r="O65" s="50">
        <f t="shared" si="3"/>
        <v>43920</v>
      </c>
      <c r="P65" s="50">
        <f t="shared" si="4"/>
        <v>91920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368</v>
      </c>
      <c r="E66" s="24"/>
      <c r="F66" s="24"/>
      <c r="G66" s="16">
        <f t="shared" si="0"/>
        <v>368</v>
      </c>
      <c r="H66" s="24">
        <v>4</v>
      </c>
      <c r="I66" s="24"/>
      <c r="J66" s="76">
        <f t="shared" si="1"/>
        <v>364</v>
      </c>
      <c r="K66" s="81">
        <v>0</v>
      </c>
      <c r="L66" s="81">
        <f t="shared" si="2"/>
        <v>364</v>
      </c>
      <c r="M66" s="86"/>
      <c r="N66" s="99">
        <v>1100</v>
      </c>
      <c r="O66" s="50">
        <f t="shared" si="3"/>
        <v>400400</v>
      </c>
      <c r="P66" s="50">
        <f t="shared" si="4"/>
        <v>400400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500</v>
      </c>
      <c r="E67" s="24"/>
      <c r="F67" s="24"/>
      <c r="G67" s="16">
        <f t="shared" si="0"/>
        <v>500</v>
      </c>
      <c r="H67" s="24">
        <v>388</v>
      </c>
      <c r="I67" s="24"/>
      <c r="J67" s="76">
        <f t="shared" si="1"/>
        <v>112</v>
      </c>
      <c r="K67" s="80">
        <v>1000</v>
      </c>
      <c r="L67" s="76">
        <f t="shared" si="2"/>
        <v>1112</v>
      </c>
      <c r="M67" s="84"/>
      <c r="N67" s="99">
        <v>53</v>
      </c>
      <c r="O67" s="50">
        <f t="shared" si="3"/>
        <v>58936</v>
      </c>
      <c r="P67" s="50">
        <f t="shared" si="4"/>
        <v>5936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459</v>
      </c>
      <c r="E70" s="24"/>
      <c r="F70" s="24"/>
      <c r="G70" s="16">
        <f t="shared" si="0"/>
        <v>459</v>
      </c>
      <c r="H70" s="24">
        <v>3</v>
      </c>
      <c r="I70" s="24"/>
      <c r="J70" s="76">
        <f t="shared" si="1"/>
        <v>456</v>
      </c>
      <c r="K70" s="80">
        <v>-153</v>
      </c>
      <c r="L70" s="76">
        <f t="shared" si="2"/>
        <v>303</v>
      </c>
      <c r="M70" s="86"/>
      <c r="N70" s="99">
        <v>260</v>
      </c>
      <c r="O70" s="50">
        <f t="shared" si="3"/>
        <v>78780</v>
      </c>
      <c r="P70" s="50">
        <f t="shared" si="4"/>
        <v>118560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3967</v>
      </c>
      <c r="E72" s="24"/>
      <c r="F72" s="24"/>
      <c r="G72" s="16">
        <f t="shared" si="0"/>
        <v>3967</v>
      </c>
      <c r="H72" s="24">
        <v>63</v>
      </c>
      <c r="I72" s="24"/>
      <c r="J72" s="76">
        <f t="shared" si="5"/>
        <v>3904</v>
      </c>
      <c r="K72" s="80">
        <v>-200</v>
      </c>
      <c r="L72" s="76">
        <f t="shared" si="2"/>
        <v>3704</v>
      </c>
      <c r="M72" s="30"/>
      <c r="N72" s="99">
        <v>39</v>
      </c>
      <c r="O72" s="50">
        <f t="shared" si="6"/>
        <v>144456</v>
      </c>
      <c r="P72" s="50">
        <f t="shared" si="7"/>
        <v>152256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19214</v>
      </c>
      <c r="E73" s="24"/>
      <c r="F73" s="24"/>
      <c r="G73" s="16">
        <f t="shared" si="0"/>
        <v>19214</v>
      </c>
      <c r="H73" s="24">
        <v>67</v>
      </c>
      <c r="I73" s="42"/>
      <c r="J73" s="76">
        <f t="shared" si="5"/>
        <v>19147</v>
      </c>
      <c r="K73" s="80">
        <v>0</v>
      </c>
      <c r="L73" s="76">
        <f t="shared" si="2"/>
        <v>19147</v>
      </c>
      <c r="M73" s="84"/>
      <c r="N73" s="99">
        <v>83</v>
      </c>
      <c r="O73" s="50">
        <f t="shared" si="6"/>
        <v>1589201</v>
      </c>
      <c r="P73" s="50">
        <f t="shared" si="7"/>
        <v>1589201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2687</v>
      </c>
      <c r="E75" s="24"/>
      <c r="F75" s="24"/>
      <c r="G75" s="16">
        <f t="shared" si="0"/>
        <v>2687</v>
      </c>
      <c r="H75" s="24">
        <v>169</v>
      </c>
      <c r="I75" s="24"/>
      <c r="J75" s="76">
        <f t="shared" si="5"/>
        <v>2518</v>
      </c>
      <c r="K75" s="80">
        <v>273</v>
      </c>
      <c r="L75" s="76">
        <f t="shared" si="2"/>
        <v>2791</v>
      </c>
      <c r="M75" s="86"/>
      <c r="N75" s="99">
        <v>16</v>
      </c>
      <c r="O75" s="50">
        <f t="shared" si="6"/>
        <v>44656</v>
      </c>
      <c r="P75" s="50">
        <f t="shared" si="7"/>
        <v>40288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431</v>
      </c>
      <c r="E76" s="24"/>
      <c r="F76" s="24"/>
      <c r="G76" s="16">
        <f t="shared" si="0"/>
        <v>431</v>
      </c>
      <c r="H76" s="24">
        <v>13</v>
      </c>
      <c r="I76" s="24"/>
      <c r="J76" s="76">
        <f t="shared" si="5"/>
        <v>418</v>
      </c>
      <c r="K76" s="80">
        <v>-250</v>
      </c>
      <c r="L76" s="76">
        <f t="shared" si="2"/>
        <v>168</v>
      </c>
      <c r="M76" s="30"/>
      <c r="N76" s="99">
        <v>400</v>
      </c>
      <c r="O76" s="50">
        <f t="shared" si="6"/>
        <v>67200</v>
      </c>
      <c r="P76" s="50">
        <f t="shared" si="7"/>
        <v>167200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177</v>
      </c>
      <c r="E78" s="24">
        <v>200</v>
      </c>
      <c r="F78" s="24"/>
      <c r="G78" s="16">
        <f t="shared" si="0"/>
        <v>377</v>
      </c>
      <c r="H78" s="24">
        <v>6</v>
      </c>
      <c r="I78" s="24"/>
      <c r="J78" s="76">
        <f t="shared" si="5"/>
        <v>371</v>
      </c>
      <c r="K78" s="80">
        <v>100</v>
      </c>
      <c r="L78" s="76">
        <f t="shared" si="2"/>
        <v>471</v>
      </c>
      <c r="M78" s="86"/>
      <c r="N78" s="99">
        <v>900</v>
      </c>
      <c r="O78" s="50">
        <f t="shared" si="6"/>
        <v>423900</v>
      </c>
      <c r="P78" s="50">
        <f t="shared" si="7"/>
        <v>333900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5871</v>
      </c>
      <c r="E83" s="98"/>
      <c r="F83" s="24"/>
      <c r="G83" s="16">
        <f t="shared" si="8"/>
        <v>5871</v>
      </c>
      <c r="H83" s="24"/>
      <c r="I83" s="95">
        <f>5871-5756</f>
        <v>115</v>
      </c>
      <c r="J83" s="76">
        <f t="shared" si="5"/>
        <v>5756</v>
      </c>
      <c r="K83" s="81">
        <v>0</v>
      </c>
      <c r="L83" s="76">
        <f t="shared" si="2"/>
        <v>5756</v>
      </c>
      <c r="M83" s="85"/>
      <c r="N83" s="100">
        <v>64</v>
      </c>
      <c r="O83" s="50">
        <f t="shared" si="6"/>
        <v>368384</v>
      </c>
      <c r="P83" s="50">
        <f t="shared" si="7"/>
        <v>368384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21</v>
      </c>
      <c r="E84" s="89"/>
      <c r="F84" s="12"/>
      <c r="G84" s="45">
        <f t="shared" si="8"/>
        <v>21</v>
      </c>
      <c r="H84" s="12">
        <v>1</v>
      </c>
      <c r="I84" s="94"/>
      <c r="J84" s="82">
        <f t="shared" ref="J84:J97" si="9">D84+E84-H84-I84</f>
        <v>20</v>
      </c>
      <c r="K84" s="96">
        <v>0</v>
      </c>
      <c r="L84" s="82">
        <f t="shared" si="2"/>
        <v>20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/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285</v>
      </c>
      <c r="E86" s="90"/>
      <c r="F86" s="11"/>
      <c r="G86" s="16">
        <f t="shared" si="8"/>
        <v>285</v>
      </c>
      <c r="H86" s="88">
        <v>25</v>
      </c>
      <c r="I86" s="11"/>
      <c r="J86" s="76">
        <f t="shared" si="9"/>
        <v>260</v>
      </c>
      <c r="K86" s="97">
        <v>300</v>
      </c>
      <c r="L86" s="76">
        <f t="shared" si="2"/>
        <v>560</v>
      </c>
      <c r="M86" s="84"/>
      <c r="N86" s="99">
        <v>165</v>
      </c>
      <c r="O86" s="50">
        <f t="shared" si="6"/>
        <v>92400</v>
      </c>
      <c r="P86" s="50">
        <f t="shared" si="7"/>
        <v>42900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273</v>
      </c>
      <c r="E87" s="11"/>
      <c r="F87" s="11"/>
      <c r="G87" s="16">
        <f t="shared" si="8"/>
        <v>273</v>
      </c>
      <c r="H87" s="88"/>
      <c r="I87" s="11"/>
      <c r="J87" s="76">
        <f t="shared" si="9"/>
        <v>273</v>
      </c>
      <c r="K87" s="97">
        <v>-1</v>
      </c>
      <c r="L87" s="76">
        <f t="shared" si="2"/>
        <v>272</v>
      </c>
      <c r="M87" s="86"/>
      <c r="N87" s="99">
        <v>630</v>
      </c>
      <c r="O87" s="50">
        <f t="shared" si="6"/>
        <v>171360</v>
      </c>
      <c r="P87" s="50">
        <f t="shared" si="7"/>
        <v>171990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52</v>
      </c>
      <c r="E88" s="11"/>
      <c r="F88" s="11"/>
      <c r="G88" s="16">
        <f t="shared" si="8"/>
        <v>52</v>
      </c>
      <c r="H88" s="88">
        <v>3</v>
      </c>
      <c r="I88" s="11"/>
      <c r="J88" s="76">
        <f t="shared" si="9"/>
        <v>49</v>
      </c>
      <c r="K88" s="97">
        <v>8</v>
      </c>
      <c r="L88" s="76">
        <f t="shared" ref="L88:L97" si="10">J88+K88</f>
        <v>57</v>
      </c>
      <c r="M88" s="86"/>
      <c r="N88" s="99">
        <v>285</v>
      </c>
      <c r="O88" s="50">
        <f t="shared" si="6"/>
        <v>16245</v>
      </c>
      <c r="P88" s="50">
        <f t="shared" si="7"/>
        <v>13965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524</v>
      </c>
      <c r="E92" s="88"/>
      <c r="F92" s="11"/>
      <c r="G92" s="16">
        <f t="shared" si="8"/>
        <v>524</v>
      </c>
      <c r="H92" s="88">
        <v>16</v>
      </c>
      <c r="I92" s="11"/>
      <c r="J92" s="83">
        <f t="shared" si="9"/>
        <v>508</v>
      </c>
      <c r="K92" s="97">
        <v>0</v>
      </c>
      <c r="L92" s="76">
        <f t="shared" si="10"/>
        <v>508</v>
      </c>
      <c r="M92" s="86"/>
      <c r="N92" s="99">
        <v>113</v>
      </c>
      <c r="O92" s="50">
        <f t="shared" si="6"/>
        <v>57404</v>
      </c>
      <c r="P92" s="50">
        <f t="shared" si="7"/>
        <v>57404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313</v>
      </c>
      <c r="E94" s="88"/>
      <c r="F94" s="11"/>
      <c r="G94" s="16">
        <f t="shared" si="8"/>
        <v>313</v>
      </c>
      <c r="H94" s="88">
        <v>7</v>
      </c>
      <c r="I94" s="11"/>
      <c r="J94" s="83">
        <f t="shared" si="9"/>
        <v>306</v>
      </c>
      <c r="K94" s="97">
        <v>-50</v>
      </c>
      <c r="L94" s="76">
        <f t="shared" si="10"/>
        <v>256</v>
      </c>
      <c r="M94" s="86"/>
      <c r="N94" s="99">
        <v>950</v>
      </c>
      <c r="O94" s="50">
        <f t="shared" si="6"/>
        <v>243200</v>
      </c>
      <c r="P94" s="50">
        <f t="shared" si="7"/>
        <v>290700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1261456.2549999999</v>
      </c>
      <c r="E98" s="27">
        <f t="shared" ref="E98:L98" si="11">SUM(E6:E97)</f>
        <v>61527</v>
      </c>
      <c r="F98" s="27">
        <f t="shared" si="11"/>
        <v>0</v>
      </c>
      <c r="G98" s="27">
        <f t="shared" si="11"/>
        <v>1322983.2549999999</v>
      </c>
      <c r="H98" s="27">
        <f t="shared" si="11"/>
        <v>67560</v>
      </c>
      <c r="I98" s="27">
        <f t="shared" si="11"/>
        <v>115</v>
      </c>
      <c r="J98" s="27">
        <f t="shared" si="11"/>
        <v>1255308.2549999999</v>
      </c>
      <c r="K98" s="27">
        <f t="shared" si="11"/>
        <v>-577629</v>
      </c>
      <c r="L98" s="27">
        <f t="shared" si="11"/>
        <v>677679.25499999989</v>
      </c>
      <c r="M98" s="27">
        <f>SUM(M6:M96)</f>
        <v>0</v>
      </c>
      <c r="N98" s="51"/>
      <c r="O98" s="51">
        <f t="shared" ref="O98" si="12">SUM(O6:O97)</f>
        <v>28867849.440000001</v>
      </c>
      <c r="P98" s="51">
        <f>SUM(P6:P97)</f>
        <v>41174020.140000001</v>
      </c>
      <c r="Q98" s="57">
        <f>O98-P98</f>
        <v>-12306170.699999999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0" t="s">
        <v>115</v>
      </c>
      <c r="M100" s="110"/>
      <c r="O100" s="55" t="s">
        <v>110</v>
      </c>
      <c r="P100" s="54">
        <v>79909923</v>
      </c>
    </row>
    <row r="101" spans="1:22">
      <c r="P101" s="54">
        <f>P100-P98</f>
        <v>38735902.859999999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27" activePane="bottomLeft" state="frozen"/>
      <selection pane="bottomLeft" activeCell="Q44" sqref="Q44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146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-1253</v>
      </c>
      <c r="E6" s="15"/>
      <c r="F6" s="16"/>
      <c r="G6" s="15">
        <f>D6+E6-F6</f>
        <v>-1253</v>
      </c>
      <c r="H6" s="15">
        <v>5069</v>
      </c>
      <c r="I6" s="16"/>
      <c r="J6" s="15">
        <f>G6-H6-I6</f>
        <v>-6322</v>
      </c>
      <c r="K6" s="15">
        <v>8000</v>
      </c>
      <c r="L6" s="15">
        <f>J6+K6</f>
        <v>1678</v>
      </c>
      <c r="M6" s="30" t="s">
        <v>75</v>
      </c>
      <c r="N6" s="99">
        <v>21.5</v>
      </c>
      <c r="O6" s="50">
        <f>L6*N6</f>
        <v>36077</v>
      </c>
      <c r="P6" s="50">
        <f>J6*N6</f>
        <v>-135923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104502</v>
      </c>
      <c r="E7" s="15"/>
      <c r="F7" s="15"/>
      <c r="G7" s="15">
        <f t="shared" ref="G7:G80" si="0">D7+E7-F7</f>
        <v>104502</v>
      </c>
      <c r="H7" s="15">
        <v>3212</v>
      </c>
      <c r="I7" s="15"/>
      <c r="J7" s="15">
        <f t="shared" ref="J7:J70" si="1">G7-H7-I7</f>
        <v>101290</v>
      </c>
      <c r="K7" s="15">
        <v>-5000</v>
      </c>
      <c r="L7" s="15">
        <f t="shared" ref="L7:L87" si="2">J7+K7</f>
        <v>96290</v>
      </c>
      <c r="M7" s="30" t="s">
        <v>75</v>
      </c>
      <c r="N7" s="99">
        <v>38</v>
      </c>
      <c r="O7" s="50">
        <f t="shared" ref="O7:O70" si="3">L7*N7</f>
        <v>3659020</v>
      </c>
      <c r="P7" s="50">
        <f t="shared" ref="P7:P70" si="4">J7*N7</f>
        <v>3849020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32317</v>
      </c>
      <c r="E8" s="15">
        <v>14690</v>
      </c>
      <c r="F8" s="15">
        <v>38</v>
      </c>
      <c r="G8" s="15">
        <f t="shared" si="0"/>
        <v>46969</v>
      </c>
      <c r="H8" s="15"/>
      <c r="I8" s="15"/>
      <c r="J8" s="15">
        <f t="shared" si="1"/>
        <v>46969</v>
      </c>
      <c r="K8" s="15">
        <v>0</v>
      </c>
      <c r="L8" s="15">
        <f t="shared" si="2"/>
        <v>46969</v>
      </c>
      <c r="M8" s="30" t="s">
        <v>75</v>
      </c>
      <c r="N8" s="99">
        <v>12</v>
      </c>
      <c r="O8" s="50">
        <f t="shared" si="3"/>
        <v>563628</v>
      </c>
      <c r="P8" s="50">
        <f t="shared" si="4"/>
        <v>563628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655627</v>
      </c>
      <c r="E10" s="15"/>
      <c r="F10" s="15"/>
      <c r="G10" s="15">
        <f t="shared" si="0"/>
        <v>655627</v>
      </c>
      <c r="H10" s="15"/>
      <c r="I10" s="15"/>
      <c r="J10" s="15">
        <f t="shared" si="1"/>
        <v>655627</v>
      </c>
      <c r="K10" s="15">
        <v>-607000</v>
      </c>
      <c r="L10" s="15">
        <f t="shared" si="2"/>
        <v>48627</v>
      </c>
      <c r="M10" s="30"/>
      <c r="N10" s="99">
        <v>23.09</v>
      </c>
      <c r="O10" s="50">
        <f t="shared" si="3"/>
        <v>1122797.43</v>
      </c>
      <c r="P10" s="50">
        <f t="shared" si="4"/>
        <v>15138427.43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4415</v>
      </c>
      <c r="E11" s="15"/>
      <c r="F11" s="15"/>
      <c r="G11" s="15">
        <f t="shared" si="0"/>
        <v>4415</v>
      </c>
      <c r="H11" s="15">
        <v>226</v>
      </c>
      <c r="I11" s="15"/>
      <c r="J11" s="15">
        <f t="shared" si="1"/>
        <v>4189</v>
      </c>
      <c r="K11" s="15">
        <v>2000</v>
      </c>
      <c r="L11" s="15">
        <f t="shared" si="2"/>
        <v>6189</v>
      </c>
      <c r="M11" s="30" t="s">
        <v>75</v>
      </c>
      <c r="N11" s="99">
        <v>16.5</v>
      </c>
      <c r="O11" s="50">
        <f t="shared" si="3"/>
        <v>102118.5</v>
      </c>
      <c r="P11" s="50">
        <f t="shared" si="4"/>
        <v>69118.5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1461</v>
      </c>
      <c r="E13" s="15"/>
      <c r="F13" s="15"/>
      <c r="G13" s="15">
        <f t="shared" si="0"/>
        <v>1461</v>
      </c>
      <c r="H13" s="15">
        <v>74</v>
      </c>
      <c r="I13" s="15"/>
      <c r="J13" s="15">
        <f t="shared" si="1"/>
        <v>1387</v>
      </c>
      <c r="K13" s="15">
        <v>5000</v>
      </c>
      <c r="L13" s="15">
        <f t="shared" si="2"/>
        <v>6387</v>
      </c>
      <c r="M13" s="30" t="s">
        <v>75</v>
      </c>
      <c r="N13" s="99">
        <v>27.5</v>
      </c>
      <c r="O13" s="50">
        <f t="shared" si="3"/>
        <v>175642.5</v>
      </c>
      <c r="P13" s="50">
        <f t="shared" si="4"/>
        <v>38142.5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12670</v>
      </c>
      <c r="E14" s="15"/>
      <c r="F14" s="15"/>
      <c r="G14" s="15">
        <f t="shared" si="0"/>
        <v>12670</v>
      </c>
      <c r="H14" s="15">
        <v>16</v>
      </c>
      <c r="I14" s="16"/>
      <c r="J14" s="15">
        <f t="shared" si="1"/>
        <v>12654</v>
      </c>
      <c r="K14" s="15">
        <v>-1000</v>
      </c>
      <c r="L14" s="15">
        <f t="shared" si="2"/>
        <v>11654</v>
      </c>
      <c r="M14" s="30"/>
      <c r="N14" s="99">
        <v>59</v>
      </c>
      <c r="O14" s="50">
        <f t="shared" si="3"/>
        <v>687586</v>
      </c>
      <c r="P14" s="50">
        <f t="shared" si="4"/>
        <v>746586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26962</v>
      </c>
      <c r="E16" s="29"/>
      <c r="F16" s="15"/>
      <c r="G16" s="15">
        <f t="shared" si="0"/>
        <v>26962</v>
      </c>
      <c r="H16" s="15">
        <v>391</v>
      </c>
      <c r="I16" s="16"/>
      <c r="J16" s="15">
        <f t="shared" si="1"/>
        <v>26571</v>
      </c>
      <c r="K16" s="15">
        <v>0</v>
      </c>
      <c r="L16" s="15">
        <f>J16+K16</f>
        <v>26571</v>
      </c>
      <c r="M16" s="30"/>
      <c r="N16" s="99">
        <v>43.25</v>
      </c>
      <c r="O16" s="50">
        <f t="shared" si="3"/>
        <v>1149195.75</v>
      </c>
      <c r="P16" s="50">
        <f t="shared" si="4"/>
        <v>1149195.75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11049</v>
      </c>
      <c r="E19" s="15"/>
      <c r="F19" s="15"/>
      <c r="G19" s="15">
        <f t="shared" si="0"/>
        <v>11049</v>
      </c>
      <c r="H19" s="15"/>
      <c r="I19" s="16"/>
      <c r="J19" s="15">
        <f t="shared" si="1"/>
        <v>11049</v>
      </c>
      <c r="K19" s="15">
        <v>1000</v>
      </c>
      <c r="L19" s="15">
        <f t="shared" si="2"/>
        <v>12049</v>
      </c>
      <c r="M19" s="30"/>
      <c r="N19" s="99">
        <v>22.8</v>
      </c>
      <c r="O19" s="50">
        <f t="shared" si="3"/>
        <v>274717.2</v>
      </c>
      <c r="P19" s="50">
        <f t="shared" si="4"/>
        <v>251917.2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7247</v>
      </c>
      <c r="E20" s="15"/>
      <c r="F20" s="15"/>
      <c r="G20" s="15">
        <f t="shared" si="0"/>
        <v>7247</v>
      </c>
      <c r="H20" s="15">
        <v>260</v>
      </c>
      <c r="I20" s="16"/>
      <c r="J20" s="15">
        <f t="shared" si="1"/>
        <v>6987</v>
      </c>
      <c r="K20" s="15">
        <v>0</v>
      </c>
      <c r="L20" s="15">
        <f t="shared" si="2"/>
        <v>6987</v>
      </c>
      <c r="M20" s="30" t="s">
        <v>75</v>
      </c>
      <c r="N20" s="99">
        <v>20</v>
      </c>
      <c r="O20" s="50">
        <f t="shared" si="3"/>
        <v>139740</v>
      </c>
      <c r="P20" s="50">
        <f t="shared" si="4"/>
        <v>139740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5725</v>
      </c>
      <c r="E21" s="15"/>
      <c r="F21" s="15"/>
      <c r="G21" s="15">
        <f t="shared" si="0"/>
        <v>5725</v>
      </c>
      <c r="H21" s="15"/>
      <c r="I21" s="16"/>
      <c r="J21" s="15">
        <f t="shared" si="1"/>
        <v>5725</v>
      </c>
      <c r="K21" s="15">
        <v>0</v>
      </c>
      <c r="L21" s="15">
        <f t="shared" si="2"/>
        <v>5725</v>
      </c>
      <c r="M21" s="30"/>
      <c r="N21" s="99">
        <v>8.5</v>
      </c>
      <c r="O21" s="50">
        <f t="shared" si="3"/>
        <v>48662.5</v>
      </c>
      <c r="P21" s="50">
        <f t="shared" si="4"/>
        <v>48662.5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244007</v>
      </c>
      <c r="E22" s="15"/>
      <c r="F22" s="15"/>
      <c r="G22" s="15">
        <f t="shared" si="0"/>
        <v>244007</v>
      </c>
      <c r="H22" s="15">
        <v>118</v>
      </c>
      <c r="I22" s="16"/>
      <c r="J22" s="15">
        <f t="shared" si="1"/>
        <v>243889</v>
      </c>
      <c r="K22" s="15">
        <v>8000</v>
      </c>
      <c r="L22" s="15">
        <f t="shared" si="2"/>
        <v>251889</v>
      </c>
      <c r="M22" s="30"/>
      <c r="N22" s="99">
        <v>8.5</v>
      </c>
      <c r="O22" s="50">
        <f t="shared" si="3"/>
        <v>2141056.5</v>
      </c>
      <c r="P22" s="50">
        <f t="shared" si="4"/>
        <v>2073056.5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189</v>
      </c>
      <c r="E23" s="15"/>
      <c r="F23" s="15"/>
      <c r="G23" s="15">
        <f t="shared" si="0"/>
        <v>189</v>
      </c>
      <c r="H23" s="15">
        <v>393</v>
      </c>
      <c r="I23" s="16"/>
      <c r="J23" s="15">
        <f t="shared" si="1"/>
        <v>-204</v>
      </c>
      <c r="K23" s="15">
        <v>1500</v>
      </c>
      <c r="L23" s="15">
        <f t="shared" si="2"/>
        <v>1296</v>
      </c>
      <c r="M23" s="30" t="s">
        <v>75</v>
      </c>
      <c r="N23" s="99">
        <v>82</v>
      </c>
      <c r="O23" s="50">
        <f t="shared" si="3"/>
        <v>106272</v>
      </c>
      <c r="P23" s="50">
        <f t="shared" si="4"/>
        <v>-16728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12038</v>
      </c>
      <c r="E24" s="29"/>
      <c r="F24" s="29"/>
      <c r="G24" s="15">
        <f t="shared" si="0"/>
        <v>12038</v>
      </c>
      <c r="H24" s="15"/>
      <c r="I24" s="16"/>
      <c r="J24" s="15">
        <f t="shared" si="1"/>
        <v>12038</v>
      </c>
      <c r="K24" s="15">
        <v>2713</v>
      </c>
      <c r="L24" s="15">
        <f t="shared" si="2"/>
        <v>14751</v>
      </c>
      <c r="M24" s="30"/>
      <c r="N24" s="99">
        <v>22.1</v>
      </c>
      <c r="O24" s="50">
        <f t="shared" si="3"/>
        <v>325997.10000000003</v>
      </c>
      <c r="P24" s="50">
        <f t="shared" si="4"/>
        <v>266039.8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4542</v>
      </c>
      <c r="E26" s="15"/>
      <c r="F26" s="15"/>
      <c r="G26" s="15">
        <f t="shared" si="0"/>
        <v>4542</v>
      </c>
      <c r="H26" s="15">
        <v>57</v>
      </c>
      <c r="I26" s="16"/>
      <c r="J26" s="76">
        <f t="shared" si="1"/>
        <v>4485</v>
      </c>
      <c r="K26" s="76">
        <v>0</v>
      </c>
      <c r="L26" s="76">
        <f t="shared" si="2"/>
        <v>4485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12074</v>
      </c>
      <c r="E32" s="15"/>
      <c r="F32" s="15"/>
      <c r="G32" s="15">
        <f t="shared" si="0"/>
        <v>12074</v>
      </c>
      <c r="H32" s="15"/>
      <c r="I32" s="16"/>
      <c r="J32" s="76">
        <f t="shared" si="1"/>
        <v>12074</v>
      </c>
      <c r="K32" s="76"/>
      <c r="L32" s="76">
        <f t="shared" si="2"/>
        <v>12074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15534</v>
      </c>
      <c r="E33" s="15"/>
      <c r="F33" s="15"/>
      <c r="G33" s="15">
        <f t="shared" si="0"/>
        <v>15534</v>
      </c>
      <c r="H33" s="15">
        <v>28</v>
      </c>
      <c r="I33" s="16"/>
      <c r="J33" s="76">
        <f t="shared" si="1"/>
        <v>15506</v>
      </c>
      <c r="K33" s="76">
        <v>206</v>
      </c>
      <c r="L33" s="76">
        <f t="shared" si="2"/>
        <v>15712</v>
      </c>
      <c r="M33" s="30"/>
      <c r="N33" s="99">
        <v>12.49</v>
      </c>
      <c r="O33" s="50">
        <f t="shared" si="3"/>
        <v>196242.88</v>
      </c>
      <c r="P33" s="50">
        <f t="shared" si="4"/>
        <v>193669.94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218</v>
      </c>
      <c r="E34" s="15"/>
      <c r="F34" s="15"/>
      <c r="G34" s="15">
        <f t="shared" si="0"/>
        <v>218</v>
      </c>
      <c r="H34" s="15">
        <v>5</v>
      </c>
      <c r="I34" s="16"/>
      <c r="J34" s="76">
        <f t="shared" si="1"/>
        <v>213</v>
      </c>
      <c r="K34" s="76">
        <v>-50</v>
      </c>
      <c r="L34" s="76">
        <f t="shared" si="2"/>
        <v>163</v>
      </c>
      <c r="M34" s="77"/>
      <c r="N34" s="99">
        <v>435</v>
      </c>
      <c r="O34" s="50">
        <f t="shared" si="3"/>
        <v>70905</v>
      </c>
      <c r="P34" s="50">
        <f t="shared" si="4"/>
        <v>92655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152</v>
      </c>
      <c r="E35" s="15"/>
      <c r="F35" s="15"/>
      <c r="G35" s="15">
        <f t="shared" si="0"/>
        <v>152</v>
      </c>
      <c r="H35" s="15">
        <v>3</v>
      </c>
      <c r="I35" s="16"/>
      <c r="J35" s="76">
        <f>G35-H35-I35</f>
        <v>149</v>
      </c>
      <c r="K35" s="76">
        <v>-50</v>
      </c>
      <c r="L35" s="76">
        <f t="shared" si="2"/>
        <v>99</v>
      </c>
      <c r="M35" s="84"/>
      <c r="N35" s="99">
        <v>730</v>
      </c>
      <c r="O35" s="50">
        <f t="shared" si="3"/>
        <v>72270</v>
      </c>
      <c r="P35" s="50">
        <f t="shared" si="4"/>
        <v>108770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358</v>
      </c>
      <c r="E36" s="15"/>
      <c r="F36" s="15"/>
      <c r="G36" s="15">
        <f t="shared" si="0"/>
        <v>358</v>
      </c>
      <c r="H36" s="16">
        <v>1</v>
      </c>
      <c r="I36" s="16"/>
      <c r="J36" s="76">
        <f t="shared" si="1"/>
        <v>357</v>
      </c>
      <c r="K36" s="76">
        <v>-125</v>
      </c>
      <c r="L36" s="76">
        <f t="shared" si="2"/>
        <v>232</v>
      </c>
      <c r="M36" s="84"/>
      <c r="N36" s="99">
        <v>155</v>
      </c>
      <c r="O36" s="50">
        <f t="shared" si="3"/>
        <v>35960</v>
      </c>
      <c r="P36" s="50">
        <f t="shared" si="4"/>
        <v>55335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1696</v>
      </c>
      <c r="E37" s="15"/>
      <c r="F37" s="15"/>
      <c r="G37" s="15">
        <f t="shared" si="0"/>
        <v>1696</v>
      </c>
      <c r="H37" s="16"/>
      <c r="I37" s="16"/>
      <c r="J37" s="76">
        <f t="shared" si="1"/>
        <v>1696</v>
      </c>
      <c r="K37" s="76">
        <v>0</v>
      </c>
      <c r="L37" s="76">
        <f t="shared" si="2"/>
        <v>1696</v>
      </c>
      <c r="M37" s="84"/>
      <c r="N37" s="99">
        <v>125</v>
      </c>
      <c r="O37" s="50">
        <f t="shared" si="3"/>
        <v>212000</v>
      </c>
      <c r="P37" s="50">
        <f t="shared" si="4"/>
        <v>212000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221</v>
      </c>
      <c r="E39" s="15"/>
      <c r="F39" s="15"/>
      <c r="G39" s="15">
        <f t="shared" si="0"/>
        <v>221</v>
      </c>
      <c r="H39" s="16">
        <v>3</v>
      </c>
      <c r="I39" s="16"/>
      <c r="J39" s="76">
        <f t="shared" si="1"/>
        <v>218</v>
      </c>
      <c r="K39" s="76">
        <v>-70</v>
      </c>
      <c r="L39" s="76">
        <f t="shared" si="2"/>
        <v>148</v>
      </c>
      <c r="M39" s="84"/>
      <c r="N39" s="99">
        <v>975</v>
      </c>
      <c r="O39" s="50">
        <f t="shared" si="3"/>
        <v>144300</v>
      </c>
      <c r="P39" s="50">
        <f t="shared" si="4"/>
        <v>212550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255</v>
      </c>
      <c r="E41" s="15"/>
      <c r="F41" s="15"/>
      <c r="G41" s="15">
        <f t="shared" si="0"/>
        <v>255</v>
      </c>
      <c r="H41" s="16">
        <v>5</v>
      </c>
      <c r="I41" s="16"/>
      <c r="J41" s="76">
        <f t="shared" si="1"/>
        <v>250</v>
      </c>
      <c r="K41" s="76">
        <v>500</v>
      </c>
      <c r="L41" s="76">
        <f t="shared" si="2"/>
        <v>750</v>
      </c>
      <c r="M41" s="84"/>
      <c r="N41" s="99">
        <v>125</v>
      </c>
      <c r="O41" s="50">
        <f t="shared" si="3"/>
        <v>93750</v>
      </c>
      <c r="P41" s="50">
        <f t="shared" si="4"/>
        <v>31250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16556</v>
      </c>
      <c r="E46" s="15"/>
      <c r="F46" s="15"/>
      <c r="G46" s="15">
        <f t="shared" si="0"/>
        <v>16556</v>
      </c>
      <c r="H46" s="16">
        <v>36</v>
      </c>
      <c r="I46" s="16"/>
      <c r="J46" s="76">
        <f t="shared" si="1"/>
        <v>16520</v>
      </c>
      <c r="K46" s="76">
        <v>-180</v>
      </c>
      <c r="L46" s="76">
        <f t="shared" si="2"/>
        <v>16340</v>
      </c>
      <c r="M46" s="84"/>
      <c r="N46" s="99">
        <v>275</v>
      </c>
      <c r="O46" s="50">
        <f t="shared" si="3"/>
        <v>4493500</v>
      </c>
      <c r="P46" s="50">
        <f t="shared" si="4"/>
        <v>4543000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22</v>
      </c>
      <c r="E49" s="15"/>
      <c r="F49" s="15"/>
      <c r="G49" s="15">
        <f t="shared" si="0"/>
        <v>22</v>
      </c>
      <c r="H49" s="15"/>
      <c r="I49" s="16"/>
      <c r="J49" s="76">
        <f t="shared" si="1"/>
        <v>22</v>
      </c>
      <c r="K49" s="76">
        <v>0</v>
      </c>
      <c r="L49" s="76">
        <f t="shared" si="2"/>
        <v>22</v>
      </c>
      <c r="M49" s="84"/>
      <c r="N49" s="99">
        <v>800</v>
      </c>
      <c r="O49" s="50">
        <f t="shared" si="3"/>
        <v>17600</v>
      </c>
      <c r="P49" s="50">
        <f t="shared" si="4"/>
        <v>17600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91</v>
      </c>
      <c r="E53" s="15"/>
      <c r="F53" s="15"/>
      <c r="G53" s="15">
        <f t="shared" si="0"/>
        <v>91</v>
      </c>
      <c r="H53" s="15">
        <v>1</v>
      </c>
      <c r="I53" s="20"/>
      <c r="J53" s="76">
        <f t="shared" si="1"/>
        <v>90</v>
      </c>
      <c r="K53" s="76">
        <v>0</v>
      </c>
      <c r="L53" s="76">
        <f t="shared" si="2"/>
        <v>90</v>
      </c>
      <c r="M53" s="84"/>
      <c r="N53" s="99">
        <v>1600</v>
      </c>
      <c r="O53" s="50">
        <f t="shared" si="3"/>
        <v>144000</v>
      </c>
      <c r="P53" s="50">
        <f t="shared" si="4"/>
        <v>144000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757</v>
      </c>
      <c r="E54" s="15"/>
      <c r="F54" s="15"/>
      <c r="G54" s="15">
        <f t="shared" si="0"/>
        <v>757</v>
      </c>
      <c r="H54" s="15">
        <v>2</v>
      </c>
      <c r="I54" s="16"/>
      <c r="J54" s="76">
        <f t="shared" si="1"/>
        <v>755</v>
      </c>
      <c r="K54" s="76">
        <v>-350</v>
      </c>
      <c r="L54" s="76">
        <f t="shared" si="2"/>
        <v>405</v>
      </c>
      <c r="M54" s="84"/>
      <c r="N54" s="99">
        <v>375</v>
      </c>
      <c r="O54" s="50">
        <f t="shared" si="3"/>
        <v>151875</v>
      </c>
      <c r="P54" s="50">
        <f t="shared" si="4"/>
        <v>283125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139</v>
      </c>
      <c r="E55" s="15"/>
      <c r="F55" s="15"/>
      <c r="G55" s="15">
        <f t="shared" si="0"/>
        <v>139</v>
      </c>
      <c r="H55" s="15"/>
      <c r="I55" s="21"/>
      <c r="J55" s="76">
        <f t="shared" si="1"/>
        <v>139</v>
      </c>
      <c r="K55" s="76">
        <v>9</v>
      </c>
      <c r="L55" s="76">
        <f t="shared" si="2"/>
        <v>148</v>
      </c>
      <c r="M55" s="30"/>
      <c r="N55" s="99">
        <v>425</v>
      </c>
      <c r="O55" s="50">
        <f t="shared" si="3"/>
        <v>62900</v>
      </c>
      <c r="P55" s="50">
        <f t="shared" si="4"/>
        <v>59075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378</v>
      </c>
      <c r="E56" s="15"/>
      <c r="F56" s="15"/>
      <c r="G56" s="15">
        <f t="shared" si="0"/>
        <v>378</v>
      </c>
      <c r="H56" s="15">
        <v>8</v>
      </c>
      <c r="I56" s="22"/>
      <c r="J56" s="76">
        <f t="shared" si="1"/>
        <v>370</v>
      </c>
      <c r="K56" s="76">
        <v>-200</v>
      </c>
      <c r="L56" s="76">
        <f t="shared" si="2"/>
        <v>170</v>
      </c>
      <c r="M56" s="84"/>
      <c r="N56" s="99">
        <v>390</v>
      </c>
      <c r="O56" s="50">
        <f t="shared" si="3"/>
        <v>66300</v>
      </c>
      <c r="P56" s="50">
        <f t="shared" si="4"/>
        <v>144300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41</v>
      </c>
      <c r="E58" s="15"/>
      <c r="F58" s="15"/>
      <c r="G58" s="15">
        <f t="shared" si="0"/>
        <v>41</v>
      </c>
      <c r="H58" s="15">
        <v>9</v>
      </c>
      <c r="I58" s="16"/>
      <c r="J58" s="76">
        <f t="shared" si="1"/>
        <v>32</v>
      </c>
      <c r="K58" s="76">
        <v>0</v>
      </c>
      <c r="L58" s="76">
        <f t="shared" si="2"/>
        <v>32</v>
      </c>
      <c r="M58" s="30"/>
      <c r="N58" s="99">
        <v>132</v>
      </c>
      <c r="O58" s="50">
        <f t="shared" si="3"/>
        <v>4224</v>
      </c>
      <c r="P58" s="50">
        <f t="shared" si="4"/>
        <v>4224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274</v>
      </c>
      <c r="E59" s="15"/>
      <c r="F59" s="15"/>
      <c r="G59" s="15">
        <f t="shared" si="0"/>
        <v>274</v>
      </c>
      <c r="H59" s="15"/>
      <c r="I59" s="16"/>
      <c r="J59" s="76">
        <f t="shared" si="1"/>
        <v>274</v>
      </c>
      <c r="K59" s="76">
        <v>0</v>
      </c>
      <c r="L59" s="76">
        <f t="shared" si="2"/>
        <v>274</v>
      </c>
      <c r="M59" s="84"/>
      <c r="N59" s="99">
        <v>570</v>
      </c>
      <c r="O59" s="50">
        <f t="shared" si="3"/>
        <v>156180</v>
      </c>
      <c r="P59" s="50">
        <f t="shared" si="4"/>
        <v>156180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16501</v>
      </c>
      <c r="E62" s="15"/>
      <c r="F62" s="15"/>
      <c r="G62" s="15">
        <f t="shared" si="0"/>
        <v>16501</v>
      </c>
      <c r="H62" s="15">
        <v>31</v>
      </c>
      <c r="I62" s="16">
        <f>10000+500</f>
        <v>10500</v>
      </c>
      <c r="J62" s="76">
        <f t="shared" si="1"/>
        <v>5970</v>
      </c>
      <c r="K62" s="76">
        <v>187</v>
      </c>
      <c r="L62" s="76">
        <f t="shared" si="2"/>
        <v>6157</v>
      </c>
      <c r="M62" s="30"/>
      <c r="N62" s="99">
        <v>87.38</v>
      </c>
      <c r="O62" s="50">
        <f t="shared" si="3"/>
        <v>537998.65999999992</v>
      </c>
      <c r="P62" s="50">
        <f t="shared" si="4"/>
        <v>521658.6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22</v>
      </c>
      <c r="E63" s="15"/>
      <c r="F63" s="15"/>
      <c r="G63" s="15">
        <f t="shared" si="0"/>
        <v>22</v>
      </c>
      <c r="H63" s="15"/>
      <c r="I63" s="16"/>
      <c r="J63" s="76">
        <f t="shared" si="1"/>
        <v>22</v>
      </c>
      <c r="K63" s="76">
        <v>300</v>
      </c>
      <c r="L63" s="76">
        <f t="shared" si="2"/>
        <v>322</v>
      </c>
      <c r="M63" s="84"/>
      <c r="N63" s="99">
        <v>290</v>
      </c>
      <c r="O63" s="50">
        <f t="shared" si="3"/>
        <v>93380</v>
      </c>
      <c r="P63" s="50">
        <f t="shared" si="4"/>
        <v>6380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244</v>
      </c>
      <c r="E64" s="23"/>
      <c r="F64" s="23"/>
      <c r="G64" s="23">
        <f t="shared" si="0"/>
        <v>244</v>
      </c>
      <c r="H64" s="23"/>
      <c r="I64" s="23"/>
      <c r="J64" s="76">
        <f t="shared" si="1"/>
        <v>244</v>
      </c>
      <c r="K64" s="79">
        <v>100</v>
      </c>
      <c r="L64" s="76">
        <f t="shared" si="2"/>
        <v>344</v>
      </c>
      <c r="M64" s="30"/>
      <c r="N64" s="99">
        <v>70</v>
      </c>
      <c r="O64" s="50">
        <f t="shared" si="3"/>
        <v>24080</v>
      </c>
      <c r="P64" s="50">
        <f t="shared" si="4"/>
        <v>17080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383</v>
      </c>
      <c r="E65" s="24"/>
      <c r="F65" s="24"/>
      <c r="G65" s="16">
        <f t="shared" si="0"/>
        <v>383</v>
      </c>
      <c r="H65" s="24">
        <v>19</v>
      </c>
      <c r="I65" s="24"/>
      <c r="J65" s="76">
        <f t="shared" si="1"/>
        <v>364</v>
      </c>
      <c r="K65" s="80">
        <v>-200</v>
      </c>
      <c r="L65" s="76">
        <f t="shared" si="2"/>
        <v>164</v>
      </c>
      <c r="M65" s="86"/>
      <c r="N65" s="99">
        <v>240</v>
      </c>
      <c r="O65" s="50">
        <f t="shared" si="3"/>
        <v>39360</v>
      </c>
      <c r="P65" s="50">
        <f t="shared" si="4"/>
        <v>87360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364</v>
      </c>
      <c r="E66" s="24"/>
      <c r="F66" s="24"/>
      <c r="G66" s="16">
        <f t="shared" si="0"/>
        <v>364</v>
      </c>
      <c r="H66" s="24">
        <v>4</v>
      </c>
      <c r="I66" s="24"/>
      <c r="J66" s="76">
        <f t="shared" si="1"/>
        <v>360</v>
      </c>
      <c r="K66" s="81">
        <v>0</v>
      </c>
      <c r="L66" s="81">
        <f t="shared" si="2"/>
        <v>360</v>
      </c>
      <c r="M66" s="86"/>
      <c r="N66" s="99">
        <v>1100</v>
      </c>
      <c r="O66" s="50">
        <f t="shared" si="3"/>
        <v>396000</v>
      </c>
      <c r="P66" s="50">
        <f t="shared" si="4"/>
        <v>396000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112</v>
      </c>
      <c r="E67" s="24"/>
      <c r="F67" s="24"/>
      <c r="G67" s="16">
        <f t="shared" si="0"/>
        <v>112</v>
      </c>
      <c r="H67" s="24">
        <v>94</v>
      </c>
      <c r="I67" s="24"/>
      <c r="J67" s="76">
        <f t="shared" si="1"/>
        <v>18</v>
      </c>
      <c r="K67" s="80">
        <v>1000</v>
      </c>
      <c r="L67" s="76">
        <f t="shared" si="2"/>
        <v>1018</v>
      </c>
      <c r="M67" s="84"/>
      <c r="N67" s="99">
        <v>53</v>
      </c>
      <c r="O67" s="50">
        <f t="shared" si="3"/>
        <v>53954</v>
      </c>
      <c r="P67" s="50">
        <f t="shared" si="4"/>
        <v>954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456</v>
      </c>
      <c r="E70" s="24"/>
      <c r="F70" s="24"/>
      <c r="G70" s="16">
        <f t="shared" si="0"/>
        <v>456</v>
      </c>
      <c r="H70" s="24"/>
      <c r="I70" s="24"/>
      <c r="J70" s="76">
        <f t="shared" si="1"/>
        <v>456</v>
      </c>
      <c r="K70" s="80">
        <v>-153</v>
      </c>
      <c r="L70" s="76">
        <f t="shared" si="2"/>
        <v>303</v>
      </c>
      <c r="M70" s="86"/>
      <c r="N70" s="99">
        <v>260</v>
      </c>
      <c r="O70" s="50">
        <f t="shared" si="3"/>
        <v>78780</v>
      </c>
      <c r="P70" s="50">
        <f t="shared" si="4"/>
        <v>118560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3904</v>
      </c>
      <c r="E72" s="24"/>
      <c r="F72" s="24"/>
      <c r="G72" s="16">
        <f t="shared" si="0"/>
        <v>3904</v>
      </c>
      <c r="H72" s="24">
        <v>15</v>
      </c>
      <c r="I72" s="24"/>
      <c r="J72" s="76">
        <f t="shared" si="5"/>
        <v>3889</v>
      </c>
      <c r="K72" s="80">
        <v>-200</v>
      </c>
      <c r="L72" s="76">
        <f t="shared" si="2"/>
        <v>3689</v>
      </c>
      <c r="M72" s="30"/>
      <c r="N72" s="99">
        <v>39</v>
      </c>
      <c r="O72" s="50">
        <f t="shared" si="6"/>
        <v>143871</v>
      </c>
      <c r="P72" s="50">
        <f t="shared" si="7"/>
        <v>151671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19147</v>
      </c>
      <c r="E73" s="24"/>
      <c r="F73" s="24"/>
      <c r="G73" s="16">
        <f t="shared" si="0"/>
        <v>19147</v>
      </c>
      <c r="H73" s="24">
        <v>36</v>
      </c>
      <c r="I73" s="42"/>
      <c r="J73" s="76">
        <f t="shared" si="5"/>
        <v>19111</v>
      </c>
      <c r="K73" s="80">
        <v>0</v>
      </c>
      <c r="L73" s="76">
        <f t="shared" si="2"/>
        <v>19111</v>
      </c>
      <c r="M73" s="84"/>
      <c r="N73" s="99">
        <v>83</v>
      </c>
      <c r="O73" s="50">
        <f t="shared" si="6"/>
        <v>1586213</v>
      </c>
      <c r="P73" s="50">
        <f t="shared" si="7"/>
        <v>1586213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2518</v>
      </c>
      <c r="E75" s="24"/>
      <c r="F75" s="24"/>
      <c r="G75" s="16">
        <f t="shared" si="0"/>
        <v>2518</v>
      </c>
      <c r="H75" s="24"/>
      <c r="I75" s="24"/>
      <c r="J75" s="76">
        <f t="shared" si="5"/>
        <v>2518</v>
      </c>
      <c r="K75" s="80">
        <v>273</v>
      </c>
      <c r="L75" s="76">
        <f t="shared" si="2"/>
        <v>2791</v>
      </c>
      <c r="M75" s="86"/>
      <c r="N75" s="99">
        <v>16</v>
      </c>
      <c r="O75" s="50">
        <f t="shared" si="6"/>
        <v>44656</v>
      </c>
      <c r="P75" s="50">
        <f t="shared" si="7"/>
        <v>40288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418</v>
      </c>
      <c r="E76" s="24"/>
      <c r="F76" s="24"/>
      <c r="G76" s="16">
        <f t="shared" si="0"/>
        <v>418</v>
      </c>
      <c r="H76" s="24">
        <v>3</v>
      </c>
      <c r="I76" s="24"/>
      <c r="J76" s="76">
        <f t="shared" si="5"/>
        <v>415</v>
      </c>
      <c r="K76" s="80">
        <v>-250</v>
      </c>
      <c r="L76" s="76">
        <f t="shared" si="2"/>
        <v>165</v>
      </c>
      <c r="M76" s="30"/>
      <c r="N76" s="99">
        <v>400</v>
      </c>
      <c r="O76" s="50">
        <f t="shared" si="6"/>
        <v>66000</v>
      </c>
      <c r="P76" s="50">
        <f t="shared" si="7"/>
        <v>166000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371</v>
      </c>
      <c r="E78" s="24"/>
      <c r="F78" s="24"/>
      <c r="G78" s="16">
        <f t="shared" si="0"/>
        <v>371</v>
      </c>
      <c r="H78" s="24">
        <v>4</v>
      </c>
      <c r="I78" s="24"/>
      <c r="J78" s="76">
        <f t="shared" si="5"/>
        <v>367</v>
      </c>
      <c r="K78" s="80">
        <v>100</v>
      </c>
      <c r="L78" s="76">
        <f t="shared" si="2"/>
        <v>467</v>
      </c>
      <c r="M78" s="86"/>
      <c r="N78" s="99">
        <v>900</v>
      </c>
      <c r="O78" s="50">
        <f t="shared" si="6"/>
        <v>420300</v>
      </c>
      <c r="P78" s="50">
        <f t="shared" si="7"/>
        <v>330300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5756</v>
      </c>
      <c r="E83" s="98"/>
      <c r="F83" s="24"/>
      <c r="G83" s="16">
        <f t="shared" si="8"/>
        <v>5756</v>
      </c>
      <c r="H83" s="24"/>
      <c r="I83" s="95"/>
      <c r="J83" s="76">
        <f t="shared" si="5"/>
        <v>5756</v>
      </c>
      <c r="K83" s="81">
        <v>0</v>
      </c>
      <c r="L83" s="76">
        <f t="shared" si="2"/>
        <v>5756</v>
      </c>
      <c r="M83" s="85"/>
      <c r="N83" s="100">
        <v>64</v>
      </c>
      <c r="O83" s="50">
        <f t="shared" si="6"/>
        <v>368384</v>
      </c>
      <c r="P83" s="50">
        <f t="shared" si="7"/>
        <v>368384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20</v>
      </c>
      <c r="E84" s="89"/>
      <c r="F84" s="12"/>
      <c r="G84" s="45">
        <f t="shared" si="8"/>
        <v>20</v>
      </c>
      <c r="H84" s="12"/>
      <c r="I84" s="94"/>
      <c r="J84" s="82">
        <f t="shared" ref="J84:J97" si="9">D84+E84-H84-I84</f>
        <v>20</v>
      </c>
      <c r="K84" s="96">
        <v>0</v>
      </c>
      <c r="L84" s="82">
        <f t="shared" si="2"/>
        <v>20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/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260</v>
      </c>
      <c r="E86" s="90"/>
      <c r="F86" s="11"/>
      <c r="G86" s="16">
        <f t="shared" si="8"/>
        <v>260</v>
      </c>
      <c r="H86" s="88"/>
      <c r="I86" s="11"/>
      <c r="J86" s="76">
        <f t="shared" si="9"/>
        <v>260</v>
      </c>
      <c r="K86" s="97">
        <v>300</v>
      </c>
      <c r="L86" s="76">
        <f t="shared" si="2"/>
        <v>560</v>
      </c>
      <c r="M86" s="84"/>
      <c r="N86" s="99">
        <v>165</v>
      </c>
      <c r="O86" s="50">
        <f t="shared" si="6"/>
        <v>92400</v>
      </c>
      <c r="P86" s="50">
        <f t="shared" si="7"/>
        <v>42900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273</v>
      </c>
      <c r="E87" s="11"/>
      <c r="F87" s="11"/>
      <c r="G87" s="16">
        <f t="shared" si="8"/>
        <v>273</v>
      </c>
      <c r="H87" s="88">
        <v>4</v>
      </c>
      <c r="I87" s="11"/>
      <c r="J87" s="76">
        <f t="shared" si="9"/>
        <v>269</v>
      </c>
      <c r="K87" s="97">
        <v>-1</v>
      </c>
      <c r="L87" s="76">
        <f t="shared" si="2"/>
        <v>268</v>
      </c>
      <c r="M87" s="86"/>
      <c r="N87" s="99">
        <v>630</v>
      </c>
      <c r="O87" s="50">
        <f t="shared" si="6"/>
        <v>168840</v>
      </c>
      <c r="P87" s="50">
        <f t="shared" si="7"/>
        <v>169470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49</v>
      </c>
      <c r="E88" s="11"/>
      <c r="F88" s="11"/>
      <c r="G88" s="16">
        <f t="shared" si="8"/>
        <v>49</v>
      </c>
      <c r="H88" s="88">
        <v>3</v>
      </c>
      <c r="I88" s="11"/>
      <c r="J88" s="76">
        <f t="shared" si="9"/>
        <v>46</v>
      </c>
      <c r="K88" s="97">
        <v>0</v>
      </c>
      <c r="L88" s="76">
        <f t="shared" ref="L88:L97" si="10">J88+K88</f>
        <v>46</v>
      </c>
      <c r="M88" s="86"/>
      <c r="N88" s="99">
        <v>285</v>
      </c>
      <c r="O88" s="50">
        <f t="shared" si="6"/>
        <v>13110</v>
      </c>
      <c r="P88" s="50">
        <f t="shared" si="7"/>
        <v>13110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508</v>
      </c>
      <c r="E92" s="88"/>
      <c r="F92" s="11"/>
      <c r="G92" s="16">
        <f t="shared" si="8"/>
        <v>508</v>
      </c>
      <c r="H92" s="88"/>
      <c r="I92" s="11"/>
      <c r="J92" s="83">
        <f t="shared" si="9"/>
        <v>508</v>
      </c>
      <c r="K92" s="97">
        <v>0</v>
      </c>
      <c r="L92" s="76">
        <f t="shared" si="10"/>
        <v>508</v>
      </c>
      <c r="M92" s="86"/>
      <c r="N92" s="99">
        <v>113</v>
      </c>
      <c r="O92" s="50">
        <f t="shared" si="6"/>
        <v>57404</v>
      </c>
      <c r="P92" s="50">
        <f t="shared" si="7"/>
        <v>57404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306</v>
      </c>
      <c r="E94" s="88"/>
      <c r="F94" s="11"/>
      <c r="G94" s="16">
        <f t="shared" si="8"/>
        <v>306</v>
      </c>
      <c r="H94" s="88">
        <v>5</v>
      </c>
      <c r="I94" s="11"/>
      <c r="J94" s="83">
        <f t="shared" si="9"/>
        <v>301</v>
      </c>
      <c r="K94" s="97">
        <v>-50</v>
      </c>
      <c r="L94" s="76">
        <f t="shared" si="10"/>
        <v>251</v>
      </c>
      <c r="M94" s="86"/>
      <c r="N94" s="99">
        <v>950</v>
      </c>
      <c r="O94" s="50">
        <f t="shared" si="6"/>
        <v>238450</v>
      </c>
      <c r="P94" s="50">
        <f t="shared" si="7"/>
        <v>285950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1255308.2549999999</v>
      </c>
      <c r="E98" s="27">
        <f t="shared" ref="E98:L98" si="11">SUM(E6:E97)</f>
        <v>14690</v>
      </c>
      <c r="F98" s="27">
        <f t="shared" si="11"/>
        <v>38</v>
      </c>
      <c r="G98" s="27">
        <f t="shared" si="11"/>
        <v>1269960.2549999999</v>
      </c>
      <c r="H98" s="27">
        <f t="shared" si="11"/>
        <v>10135</v>
      </c>
      <c r="I98" s="27">
        <f t="shared" si="11"/>
        <v>10500</v>
      </c>
      <c r="J98" s="27">
        <f t="shared" si="11"/>
        <v>1249325.2549999999</v>
      </c>
      <c r="K98" s="27">
        <f t="shared" si="11"/>
        <v>-577637</v>
      </c>
      <c r="L98" s="27">
        <f t="shared" si="11"/>
        <v>671688.25499999989</v>
      </c>
      <c r="M98" s="27">
        <f>SUM(M6:M96)</f>
        <v>0</v>
      </c>
      <c r="N98" s="51"/>
      <c r="O98" s="51">
        <f t="shared" ref="O98" si="12">SUM(O6:O97)</f>
        <v>27772689.690000001</v>
      </c>
      <c r="P98" s="51">
        <f>SUM(P6:P97)</f>
        <v>40081140.390000001</v>
      </c>
      <c r="Q98" s="57">
        <f>O98-P98</f>
        <v>-12308450.699999999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1" t="s">
        <v>115</v>
      </c>
      <c r="M100" s="111"/>
      <c r="O100" s="55" t="s">
        <v>110</v>
      </c>
      <c r="P100" s="54">
        <v>79909923</v>
      </c>
    </row>
    <row r="101" spans="1:22">
      <c r="P101" s="54">
        <f>P100-P98</f>
        <v>39828782.609999999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8" activePane="bottomLeft" state="frozen"/>
      <selection pane="bottomLeft" activeCell="Q28" sqref="Q28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147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-6322</v>
      </c>
      <c r="E6" s="15">
        <f>15473+15473+15874</f>
        <v>46820</v>
      </c>
      <c r="F6" s="16"/>
      <c r="G6" s="15">
        <f>D6+E6-F6</f>
        <v>40498</v>
      </c>
      <c r="H6" s="15">
        <v>46747</v>
      </c>
      <c r="I6" s="16"/>
      <c r="J6" s="15">
        <f>G6-H6-I6</f>
        <v>-6249</v>
      </c>
      <c r="K6" s="15">
        <v>8000</v>
      </c>
      <c r="L6" s="15">
        <f>J6+K6</f>
        <v>1751</v>
      </c>
      <c r="M6" s="30" t="s">
        <v>75</v>
      </c>
      <c r="N6" s="99">
        <v>21.5</v>
      </c>
      <c r="O6" s="50">
        <f>L6*N6</f>
        <v>37646.5</v>
      </c>
      <c r="P6" s="50">
        <f>J6*N6</f>
        <v>-134353.5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101290</v>
      </c>
      <c r="E7" s="15"/>
      <c r="F7" s="15"/>
      <c r="G7" s="15">
        <f t="shared" ref="G7:G80" si="0">D7+E7-F7</f>
        <v>101290</v>
      </c>
      <c r="H7" s="15">
        <v>18880</v>
      </c>
      <c r="I7" s="15"/>
      <c r="J7" s="15">
        <f t="shared" ref="J7:J70" si="1">G7-H7-I7</f>
        <v>82410</v>
      </c>
      <c r="K7" s="15">
        <v>-5000</v>
      </c>
      <c r="L7" s="15">
        <f t="shared" ref="L7:L87" si="2">J7+K7</f>
        <v>77410</v>
      </c>
      <c r="M7" s="30" t="s">
        <v>75</v>
      </c>
      <c r="N7" s="99">
        <v>38</v>
      </c>
      <c r="O7" s="50">
        <f t="shared" ref="O7:O70" si="3">L7*N7</f>
        <v>2941580</v>
      </c>
      <c r="P7" s="50">
        <f t="shared" ref="P7:P70" si="4">J7*N7</f>
        <v>3131580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46969</v>
      </c>
      <c r="E8" s="15"/>
      <c r="F8" s="15"/>
      <c r="G8" s="15">
        <f t="shared" si="0"/>
        <v>46969</v>
      </c>
      <c r="H8" s="15">
        <v>368</v>
      </c>
      <c r="I8" s="15"/>
      <c r="J8" s="15">
        <f t="shared" si="1"/>
        <v>46601</v>
      </c>
      <c r="K8" s="15">
        <v>0</v>
      </c>
      <c r="L8" s="15">
        <f t="shared" si="2"/>
        <v>46601</v>
      </c>
      <c r="M8" s="30" t="s">
        <v>75</v>
      </c>
      <c r="N8" s="99">
        <v>12</v>
      </c>
      <c r="O8" s="50">
        <f t="shared" si="3"/>
        <v>559212</v>
      </c>
      <c r="P8" s="50">
        <f t="shared" si="4"/>
        <v>559212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655627</v>
      </c>
      <c r="E10" s="15"/>
      <c r="F10" s="15"/>
      <c r="G10" s="15">
        <f t="shared" si="0"/>
        <v>655627</v>
      </c>
      <c r="H10" s="15">
        <v>3037</v>
      </c>
      <c r="I10" s="15"/>
      <c r="J10" s="15">
        <f t="shared" si="1"/>
        <v>652590</v>
      </c>
      <c r="K10" s="15">
        <v>-607000</v>
      </c>
      <c r="L10" s="15">
        <f t="shared" si="2"/>
        <v>45590</v>
      </c>
      <c r="M10" s="30"/>
      <c r="N10" s="99">
        <v>23.09</v>
      </c>
      <c r="O10" s="50">
        <f t="shared" si="3"/>
        <v>1052673.1000000001</v>
      </c>
      <c r="P10" s="50">
        <f t="shared" si="4"/>
        <v>15068303.1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4189</v>
      </c>
      <c r="E11" s="15"/>
      <c r="F11" s="15"/>
      <c r="G11" s="15">
        <f t="shared" si="0"/>
        <v>4189</v>
      </c>
      <c r="H11" s="15">
        <v>1178</v>
      </c>
      <c r="I11" s="15"/>
      <c r="J11" s="15">
        <f t="shared" si="1"/>
        <v>3011</v>
      </c>
      <c r="K11" s="15">
        <v>2000</v>
      </c>
      <c r="L11" s="15">
        <f t="shared" si="2"/>
        <v>5011</v>
      </c>
      <c r="M11" s="30" t="s">
        <v>75</v>
      </c>
      <c r="N11" s="99">
        <v>16.5</v>
      </c>
      <c r="O11" s="50">
        <f t="shared" si="3"/>
        <v>82681.5</v>
      </c>
      <c r="P11" s="50">
        <f t="shared" si="4"/>
        <v>49681.5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1387</v>
      </c>
      <c r="E13" s="15"/>
      <c r="F13" s="15"/>
      <c r="G13" s="15">
        <f t="shared" si="0"/>
        <v>1387</v>
      </c>
      <c r="H13" s="15">
        <v>3154</v>
      </c>
      <c r="I13" s="15"/>
      <c r="J13" s="15">
        <f t="shared" si="1"/>
        <v>-1767</v>
      </c>
      <c r="K13" s="15">
        <v>5000</v>
      </c>
      <c r="L13" s="15">
        <f t="shared" si="2"/>
        <v>3233</v>
      </c>
      <c r="M13" s="30" t="s">
        <v>75</v>
      </c>
      <c r="N13" s="99">
        <v>27.5</v>
      </c>
      <c r="O13" s="50">
        <f t="shared" si="3"/>
        <v>88907.5</v>
      </c>
      <c r="P13" s="50">
        <f t="shared" si="4"/>
        <v>-48592.5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12654</v>
      </c>
      <c r="E14" s="15"/>
      <c r="F14" s="15"/>
      <c r="G14" s="15">
        <f t="shared" si="0"/>
        <v>12654</v>
      </c>
      <c r="H14" s="15">
        <v>274</v>
      </c>
      <c r="I14" s="16"/>
      <c r="J14" s="15">
        <f t="shared" si="1"/>
        <v>12380</v>
      </c>
      <c r="K14" s="15">
        <v>-1000</v>
      </c>
      <c r="L14" s="15">
        <f t="shared" si="2"/>
        <v>11380</v>
      </c>
      <c r="M14" s="30"/>
      <c r="N14" s="99">
        <v>59</v>
      </c>
      <c r="O14" s="50">
        <f t="shared" si="3"/>
        <v>671420</v>
      </c>
      <c r="P14" s="50">
        <f t="shared" si="4"/>
        <v>730420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26571</v>
      </c>
      <c r="E16" s="29"/>
      <c r="F16" s="15"/>
      <c r="G16" s="15">
        <f t="shared" si="0"/>
        <v>26571</v>
      </c>
      <c r="H16" s="15">
        <v>2650</v>
      </c>
      <c r="I16" s="16"/>
      <c r="J16" s="15">
        <f t="shared" si="1"/>
        <v>23921</v>
      </c>
      <c r="K16" s="15">
        <v>0</v>
      </c>
      <c r="L16" s="15">
        <f>J16+K16</f>
        <v>23921</v>
      </c>
      <c r="M16" s="30"/>
      <c r="N16" s="99">
        <v>43.25</v>
      </c>
      <c r="O16" s="50">
        <f t="shared" si="3"/>
        <v>1034583.25</v>
      </c>
      <c r="P16" s="50">
        <f t="shared" si="4"/>
        <v>1034583.25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11049</v>
      </c>
      <c r="E19" s="15"/>
      <c r="F19" s="15"/>
      <c r="G19" s="15">
        <f t="shared" si="0"/>
        <v>11049</v>
      </c>
      <c r="H19" s="15">
        <v>1400</v>
      </c>
      <c r="I19" s="16"/>
      <c r="J19" s="15">
        <f t="shared" si="1"/>
        <v>9649</v>
      </c>
      <c r="K19" s="15">
        <v>1000</v>
      </c>
      <c r="L19" s="15">
        <f t="shared" si="2"/>
        <v>10649</v>
      </c>
      <c r="M19" s="30"/>
      <c r="N19" s="99">
        <v>22.8</v>
      </c>
      <c r="O19" s="50">
        <f t="shared" si="3"/>
        <v>242797.2</v>
      </c>
      <c r="P19" s="50">
        <f t="shared" si="4"/>
        <v>219997.2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6987</v>
      </c>
      <c r="E20" s="15"/>
      <c r="F20" s="15"/>
      <c r="G20" s="15">
        <f t="shared" si="0"/>
        <v>6987</v>
      </c>
      <c r="H20" s="15">
        <v>386</v>
      </c>
      <c r="I20" s="16"/>
      <c r="J20" s="15">
        <f t="shared" si="1"/>
        <v>6601</v>
      </c>
      <c r="K20" s="15">
        <v>0</v>
      </c>
      <c r="L20" s="15">
        <f t="shared" si="2"/>
        <v>6601</v>
      </c>
      <c r="M20" s="30" t="s">
        <v>75</v>
      </c>
      <c r="N20" s="99">
        <v>20</v>
      </c>
      <c r="O20" s="50">
        <f t="shared" si="3"/>
        <v>132020</v>
      </c>
      <c r="P20" s="50">
        <f t="shared" si="4"/>
        <v>132020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5725</v>
      </c>
      <c r="E21" s="15"/>
      <c r="F21" s="15"/>
      <c r="G21" s="15">
        <f t="shared" si="0"/>
        <v>5725</v>
      </c>
      <c r="H21" s="15">
        <v>790</v>
      </c>
      <c r="I21" s="16"/>
      <c r="J21" s="15">
        <f t="shared" si="1"/>
        <v>4935</v>
      </c>
      <c r="K21" s="15">
        <v>0</v>
      </c>
      <c r="L21" s="15">
        <f t="shared" si="2"/>
        <v>4935</v>
      </c>
      <c r="M21" s="30"/>
      <c r="N21" s="99">
        <v>8.5</v>
      </c>
      <c r="O21" s="50">
        <f t="shared" si="3"/>
        <v>41947.5</v>
      </c>
      <c r="P21" s="50">
        <f t="shared" si="4"/>
        <v>41947.5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243889</v>
      </c>
      <c r="E22" s="15"/>
      <c r="F22" s="15"/>
      <c r="G22" s="15">
        <f t="shared" si="0"/>
        <v>243889</v>
      </c>
      <c r="H22" s="15">
        <v>4014</v>
      </c>
      <c r="I22" s="16"/>
      <c r="J22" s="15">
        <f t="shared" si="1"/>
        <v>239875</v>
      </c>
      <c r="K22" s="15">
        <v>8000</v>
      </c>
      <c r="L22" s="15">
        <f t="shared" si="2"/>
        <v>247875</v>
      </c>
      <c r="M22" s="30"/>
      <c r="N22" s="99">
        <v>8.5</v>
      </c>
      <c r="O22" s="50">
        <f t="shared" si="3"/>
        <v>2106937.5</v>
      </c>
      <c r="P22" s="50">
        <f t="shared" si="4"/>
        <v>2038937.5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-204</v>
      </c>
      <c r="E23" s="15"/>
      <c r="F23" s="15"/>
      <c r="G23" s="15">
        <f t="shared" si="0"/>
        <v>-204</v>
      </c>
      <c r="H23" s="15">
        <v>1423</v>
      </c>
      <c r="I23" s="16"/>
      <c r="J23" s="15">
        <f t="shared" si="1"/>
        <v>-1627</v>
      </c>
      <c r="K23" s="15">
        <v>1500</v>
      </c>
      <c r="L23" s="15">
        <f t="shared" si="2"/>
        <v>-127</v>
      </c>
      <c r="M23" s="30" t="s">
        <v>75</v>
      </c>
      <c r="N23" s="99">
        <v>82</v>
      </c>
      <c r="O23" s="50">
        <f t="shared" si="3"/>
        <v>-10414</v>
      </c>
      <c r="P23" s="50">
        <f t="shared" si="4"/>
        <v>-133414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12038</v>
      </c>
      <c r="E24" s="29"/>
      <c r="F24" s="29"/>
      <c r="G24" s="15">
        <f t="shared" si="0"/>
        <v>12038</v>
      </c>
      <c r="H24" s="15"/>
      <c r="I24" s="16"/>
      <c r="J24" s="15">
        <f t="shared" si="1"/>
        <v>12038</v>
      </c>
      <c r="K24" s="15">
        <v>2713</v>
      </c>
      <c r="L24" s="15">
        <f t="shared" si="2"/>
        <v>14751</v>
      </c>
      <c r="M24" s="30"/>
      <c r="N24" s="99">
        <v>22.1</v>
      </c>
      <c r="O24" s="50">
        <f t="shared" si="3"/>
        <v>325997.10000000003</v>
      </c>
      <c r="P24" s="50">
        <f t="shared" si="4"/>
        <v>266039.8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4485</v>
      </c>
      <c r="E26" s="15"/>
      <c r="F26" s="15"/>
      <c r="G26" s="15">
        <f t="shared" si="0"/>
        <v>4485</v>
      </c>
      <c r="H26" s="15">
        <v>1383</v>
      </c>
      <c r="I26" s="16"/>
      <c r="J26" s="76">
        <f t="shared" si="1"/>
        <v>3102</v>
      </c>
      <c r="K26" s="76">
        <v>0</v>
      </c>
      <c r="L26" s="76">
        <f t="shared" si="2"/>
        <v>3102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12074</v>
      </c>
      <c r="E32" s="15"/>
      <c r="F32" s="15"/>
      <c r="G32" s="15">
        <f t="shared" si="0"/>
        <v>12074</v>
      </c>
      <c r="H32" s="15">
        <v>7870</v>
      </c>
      <c r="I32" s="16"/>
      <c r="J32" s="76">
        <f t="shared" si="1"/>
        <v>4204</v>
      </c>
      <c r="K32" s="76"/>
      <c r="L32" s="76">
        <f t="shared" si="2"/>
        <v>4204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15506</v>
      </c>
      <c r="E33" s="15"/>
      <c r="F33" s="15"/>
      <c r="G33" s="15">
        <f t="shared" si="0"/>
        <v>15506</v>
      </c>
      <c r="H33" s="15">
        <v>363</v>
      </c>
      <c r="I33" s="16"/>
      <c r="J33" s="76">
        <f t="shared" si="1"/>
        <v>15143</v>
      </c>
      <c r="K33" s="76">
        <v>206</v>
      </c>
      <c r="L33" s="76">
        <f t="shared" si="2"/>
        <v>15349</v>
      </c>
      <c r="M33" s="30"/>
      <c r="N33" s="99">
        <v>12.49</v>
      </c>
      <c r="O33" s="50">
        <f t="shared" si="3"/>
        <v>191709.01</v>
      </c>
      <c r="P33" s="50">
        <f t="shared" si="4"/>
        <v>189136.07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213</v>
      </c>
      <c r="E34" s="15"/>
      <c r="F34" s="15"/>
      <c r="G34" s="15">
        <f t="shared" si="0"/>
        <v>213</v>
      </c>
      <c r="H34" s="15">
        <v>16</v>
      </c>
      <c r="I34" s="16"/>
      <c r="J34" s="76">
        <f t="shared" si="1"/>
        <v>197</v>
      </c>
      <c r="K34" s="76">
        <v>-50</v>
      </c>
      <c r="L34" s="76">
        <f t="shared" si="2"/>
        <v>147</v>
      </c>
      <c r="M34" s="77"/>
      <c r="N34" s="99">
        <v>435</v>
      </c>
      <c r="O34" s="50">
        <f t="shared" si="3"/>
        <v>63945</v>
      </c>
      <c r="P34" s="50">
        <f t="shared" si="4"/>
        <v>85695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149</v>
      </c>
      <c r="E35" s="15"/>
      <c r="F35" s="15"/>
      <c r="G35" s="15">
        <f t="shared" si="0"/>
        <v>149</v>
      </c>
      <c r="H35" s="15">
        <v>11</v>
      </c>
      <c r="I35" s="16"/>
      <c r="J35" s="76">
        <f>G35-H35-I35</f>
        <v>138</v>
      </c>
      <c r="K35" s="76">
        <v>-50</v>
      </c>
      <c r="L35" s="76">
        <f t="shared" si="2"/>
        <v>88</v>
      </c>
      <c r="M35" s="84"/>
      <c r="N35" s="99">
        <v>730</v>
      </c>
      <c r="O35" s="50">
        <f t="shared" si="3"/>
        <v>64240</v>
      </c>
      <c r="P35" s="50">
        <f t="shared" si="4"/>
        <v>100740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357</v>
      </c>
      <c r="E36" s="15"/>
      <c r="F36" s="15"/>
      <c r="G36" s="15">
        <f t="shared" si="0"/>
        <v>357</v>
      </c>
      <c r="H36" s="16">
        <v>8</v>
      </c>
      <c r="I36" s="16"/>
      <c r="J36" s="76">
        <f t="shared" si="1"/>
        <v>349</v>
      </c>
      <c r="K36" s="76">
        <v>-125</v>
      </c>
      <c r="L36" s="76">
        <f t="shared" si="2"/>
        <v>224</v>
      </c>
      <c r="M36" s="84"/>
      <c r="N36" s="99">
        <v>155</v>
      </c>
      <c r="O36" s="50">
        <f t="shared" si="3"/>
        <v>34720</v>
      </c>
      <c r="P36" s="50">
        <f t="shared" si="4"/>
        <v>54095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1696</v>
      </c>
      <c r="E37" s="15"/>
      <c r="F37" s="15"/>
      <c r="G37" s="15">
        <f t="shared" si="0"/>
        <v>1696</v>
      </c>
      <c r="H37" s="16">
        <v>128</v>
      </c>
      <c r="I37" s="16"/>
      <c r="J37" s="76">
        <f t="shared" si="1"/>
        <v>1568</v>
      </c>
      <c r="K37" s="76">
        <v>0</v>
      </c>
      <c r="L37" s="76">
        <f t="shared" si="2"/>
        <v>1568</v>
      </c>
      <c r="M37" s="84"/>
      <c r="N37" s="99">
        <v>125</v>
      </c>
      <c r="O37" s="50">
        <f t="shared" si="3"/>
        <v>196000</v>
      </c>
      <c r="P37" s="50">
        <f t="shared" si="4"/>
        <v>196000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218</v>
      </c>
      <c r="E39" s="15"/>
      <c r="F39" s="15"/>
      <c r="G39" s="15">
        <f t="shared" si="0"/>
        <v>218</v>
      </c>
      <c r="H39" s="16">
        <v>10</v>
      </c>
      <c r="I39" s="16"/>
      <c r="J39" s="76">
        <f t="shared" si="1"/>
        <v>208</v>
      </c>
      <c r="K39" s="76">
        <v>-70</v>
      </c>
      <c r="L39" s="76">
        <f t="shared" si="2"/>
        <v>138</v>
      </c>
      <c r="M39" s="84"/>
      <c r="N39" s="99">
        <v>975</v>
      </c>
      <c r="O39" s="50">
        <f t="shared" si="3"/>
        <v>134550</v>
      </c>
      <c r="P39" s="50">
        <f t="shared" si="4"/>
        <v>202800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250</v>
      </c>
      <c r="E41" s="15"/>
      <c r="F41" s="15"/>
      <c r="G41" s="15">
        <f t="shared" si="0"/>
        <v>250</v>
      </c>
      <c r="H41" s="16">
        <v>26</v>
      </c>
      <c r="I41" s="16"/>
      <c r="J41" s="76">
        <f t="shared" si="1"/>
        <v>224</v>
      </c>
      <c r="K41" s="76">
        <v>500</v>
      </c>
      <c r="L41" s="76">
        <f t="shared" si="2"/>
        <v>724</v>
      </c>
      <c r="M41" s="84"/>
      <c r="N41" s="99">
        <v>125</v>
      </c>
      <c r="O41" s="50">
        <f t="shared" si="3"/>
        <v>90500</v>
      </c>
      <c r="P41" s="50">
        <f t="shared" si="4"/>
        <v>28000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16520</v>
      </c>
      <c r="E46" s="15"/>
      <c r="F46" s="15"/>
      <c r="G46" s="15">
        <f t="shared" si="0"/>
        <v>16520</v>
      </c>
      <c r="H46" s="16">
        <v>180</v>
      </c>
      <c r="I46" s="16"/>
      <c r="J46" s="76">
        <f t="shared" si="1"/>
        <v>16340</v>
      </c>
      <c r="K46" s="76">
        <v>-180</v>
      </c>
      <c r="L46" s="76">
        <f t="shared" si="2"/>
        <v>16160</v>
      </c>
      <c r="M46" s="84"/>
      <c r="N46" s="99">
        <v>275</v>
      </c>
      <c r="O46" s="50">
        <f t="shared" si="3"/>
        <v>4444000</v>
      </c>
      <c r="P46" s="50">
        <f t="shared" si="4"/>
        <v>4493500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22</v>
      </c>
      <c r="E49" s="15"/>
      <c r="F49" s="15"/>
      <c r="G49" s="15">
        <f t="shared" si="0"/>
        <v>22</v>
      </c>
      <c r="H49" s="15">
        <v>51</v>
      </c>
      <c r="I49" s="16"/>
      <c r="J49" s="76">
        <f t="shared" si="1"/>
        <v>-29</v>
      </c>
      <c r="K49" s="76">
        <v>29</v>
      </c>
      <c r="L49" s="76">
        <f t="shared" si="2"/>
        <v>0</v>
      </c>
      <c r="M49" s="84"/>
      <c r="N49" s="99">
        <v>800</v>
      </c>
      <c r="O49" s="50">
        <f t="shared" si="3"/>
        <v>0</v>
      </c>
      <c r="P49" s="50">
        <f t="shared" si="4"/>
        <v>-23200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90</v>
      </c>
      <c r="E53" s="15"/>
      <c r="F53" s="15"/>
      <c r="G53" s="15">
        <f t="shared" si="0"/>
        <v>90</v>
      </c>
      <c r="H53" s="15">
        <v>4</v>
      </c>
      <c r="I53" s="20"/>
      <c r="J53" s="76">
        <f t="shared" si="1"/>
        <v>86</v>
      </c>
      <c r="K53" s="76">
        <v>0</v>
      </c>
      <c r="L53" s="76">
        <f t="shared" si="2"/>
        <v>86</v>
      </c>
      <c r="M53" s="84"/>
      <c r="N53" s="99">
        <v>1600</v>
      </c>
      <c r="O53" s="50">
        <f t="shared" si="3"/>
        <v>137600</v>
      </c>
      <c r="P53" s="50">
        <f t="shared" si="4"/>
        <v>137600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755</v>
      </c>
      <c r="E54" s="15"/>
      <c r="F54" s="15"/>
      <c r="G54" s="15">
        <f t="shared" si="0"/>
        <v>755</v>
      </c>
      <c r="H54" s="15">
        <v>5</v>
      </c>
      <c r="I54" s="16"/>
      <c r="J54" s="76">
        <f t="shared" si="1"/>
        <v>750</v>
      </c>
      <c r="K54" s="76">
        <v>-350</v>
      </c>
      <c r="L54" s="76">
        <f t="shared" si="2"/>
        <v>400</v>
      </c>
      <c r="M54" s="84"/>
      <c r="N54" s="99">
        <v>375</v>
      </c>
      <c r="O54" s="50">
        <f t="shared" si="3"/>
        <v>150000</v>
      </c>
      <c r="P54" s="50">
        <f t="shared" si="4"/>
        <v>281250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139</v>
      </c>
      <c r="E55" s="15"/>
      <c r="F55" s="15"/>
      <c r="G55" s="15">
        <f t="shared" si="0"/>
        <v>139</v>
      </c>
      <c r="H55" s="15">
        <v>7</v>
      </c>
      <c r="I55" s="21"/>
      <c r="J55" s="76">
        <f t="shared" si="1"/>
        <v>132</v>
      </c>
      <c r="K55" s="76">
        <v>9</v>
      </c>
      <c r="L55" s="76">
        <f t="shared" si="2"/>
        <v>141</v>
      </c>
      <c r="M55" s="30"/>
      <c r="N55" s="99">
        <v>425</v>
      </c>
      <c r="O55" s="50">
        <f t="shared" si="3"/>
        <v>59925</v>
      </c>
      <c r="P55" s="50">
        <f t="shared" si="4"/>
        <v>56100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370</v>
      </c>
      <c r="E56" s="15"/>
      <c r="F56" s="15"/>
      <c r="G56" s="15">
        <f t="shared" si="0"/>
        <v>370</v>
      </c>
      <c r="H56" s="15">
        <v>33</v>
      </c>
      <c r="I56" s="22"/>
      <c r="J56" s="76">
        <f t="shared" si="1"/>
        <v>337</v>
      </c>
      <c r="K56" s="76">
        <v>-200</v>
      </c>
      <c r="L56" s="76">
        <f t="shared" si="2"/>
        <v>137</v>
      </c>
      <c r="M56" s="84"/>
      <c r="N56" s="99">
        <v>390</v>
      </c>
      <c r="O56" s="50">
        <f t="shared" si="3"/>
        <v>53430</v>
      </c>
      <c r="P56" s="50">
        <f t="shared" si="4"/>
        <v>131430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32</v>
      </c>
      <c r="E58" s="15"/>
      <c r="F58" s="15"/>
      <c r="G58" s="15">
        <f t="shared" si="0"/>
        <v>32</v>
      </c>
      <c r="H58" s="15">
        <v>27</v>
      </c>
      <c r="I58" s="16"/>
      <c r="J58" s="76">
        <f t="shared" si="1"/>
        <v>5</v>
      </c>
      <c r="K58" s="76">
        <v>0</v>
      </c>
      <c r="L58" s="76">
        <f t="shared" si="2"/>
        <v>5</v>
      </c>
      <c r="M58" s="30"/>
      <c r="N58" s="99">
        <v>132</v>
      </c>
      <c r="O58" s="50">
        <f t="shared" si="3"/>
        <v>660</v>
      </c>
      <c r="P58" s="50">
        <f t="shared" si="4"/>
        <v>660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274</v>
      </c>
      <c r="E59" s="15"/>
      <c r="F59" s="15"/>
      <c r="G59" s="15">
        <f t="shared" si="0"/>
        <v>274</v>
      </c>
      <c r="H59" s="15">
        <v>32</v>
      </c>
      <c r="I59" s="16"/>
      <c r="J59" s="76">
        <f t="shared" si="1"/>
        <v>242</v>
      </c>
      <c r="K59" s="76">
        <v>0</v>
      </c>
      <c r="L59" s="76">
        <f t="shared" si="2"/>
        <v>242</v>
      </c>
      <c r="M59" s="84"/>
      <c r="N59" s="99">
        <v>570</v>
      </c>
      <c r="O59" s="50">
        <f t="shared" si="3"/>
        <v>137940</v>
      </c>
      <c r="P59" s="50">
        <f t="shared" si="4"/>
        <v>137940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5970</v>
      </c>
      <c r="E62" s="15"/>
      <c r="F62" s="15"/>
      <c r="G62" s="15">
        <f t="shared" si="0"/>
        <v>5970</v>
      </c>
      <c r="H62" s="15">
        <v>133</v>
      </c>
      <c r="I62" s="16"/>
      <c r="J62" s="76">
        <f t="shared" si="1"/>
        <v>5837</v>
      </c>
      <c r="K62" s="76">
        <v>187</v>
      </c>
      <c r="L62" s="76">
        <f t="shared" si="2"/>
        <v>6024</v>
      </c>
      <c r="M62" s="30"/>
      <c r="N62" s="99">
        <v>87.38</v>
      </c>
      <c r="O62" s="50">
        <f t="shared" si="3"/>
        <v>526377.12</v>
      </c>
      <c r="P62" s="50">
        <f t="shared" si="4"/>
        <v>510037.06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22</v>
      </c>
      <c r="E63" s="15"/>
      <c r="F63" s="15"/>
      <c r="G63" s="15">
        <f t="shared" si="0"/>
        <v>22</v>
      </c>
      <c r="H63" s="15">
        <v>7</v>
      </c>
      <c r="I63" s="16"/>
      <c r="J63" s="76">
        <f t="shared" si="1"/>
        <v>15</v>
      </c>
      <c r="K63" s="76">
        <v>300</v>
      </c>
      <c r="L63" s="76">
        <f t="shared" si="2"/>
        <v>315</v>
      </c>
      <c r="M63" s="84"/>
      <c r="N63" s="99">
        <v>290</v>
      </c>
      <c r="O63" s="50">
        <f t="shared" si="3"/>
        <v>91350</v>
      </c>
      <c r="P63" s="50">
        <f t="shared" si="4"/>
        <v>4350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244</v>
      </c>
      <c r="E64" s="23"/>
      <c r="F64" s="23"/>
      <c r="G64" s="23">
        <f t="shared" si="0"/>
        <v>244</v>
      </c>
      <c r="H64" s="23">
        <v>26</v>
      </c>
      <c r="I64" s="23"/>
      <c r="J64" s="76">
        <f t="shared" si="1"/>
        <v>218</v>
      </c>
      <c r="K64" s="79">
        <v>100</v>
      </c>
      <c r="L64" s="76">
        <f t="shared" si="2"/>
        <v>318</v>
      </c>
      <c r="M64" s="30"/>
      <c r="N64" s="99">
        <v>70</v>
      </c>
      <c r="O64" s="50">
        <f t="shared" si="3"/>
        <v>22260</v>
      </c>
      <c r="P64" s="50">
        <f t="shared" si="4"/>
        <v>15260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364</v>
      </c>
      <c r="E65" s="24"/>
      <c r="F65" s="24"/>
      <c r="G65" s="16">
        <f t="shared" si="0"/>
        <v>364</v>
      </c>
      <c r="H65" s="24">
        <v>129</v>
      </c>
      <c r="I65" s="24"/>
      <c r="J65" s="76">
        <f t="shared" si="1"/>
        <v>235</v>
      </c>
      <c r="K65" s="80">
        <v>-200</v>
      </c>
      <c r="L65" s="76">
        <f t="shared" si="2"/>
        <v>35</v>
      </c>
      <c r="M65" s="86"/>
      <c r="N65" s="99">
        <v>240</v>
      </c>
      <c r="O65" s="50">
        <f t="shared" si="3"/>
        <v>8400</v>
      </c>
      <c r="P65" s="50">
        <f t="shared" si="4"/>
        <v>56400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360</v>
      </c>
      <c r="E66" s="24"/>
      <c r="F66" s="24"/>
      <c r="G66" s="16">
        <f t="shared" si="0"/>
        <v>360</v>
      </c>
      <c r="H66" s="24">
        <v>11</v>
      </c>
      <c r="I66" s="24"/>
      <c r="J66" s="76">
        <f t="shared" si="1"/>
        <v>349</v>
      </c>
      <c r="K66" s="81">
        <v>0</v>
      </c>
      <c r="L66" s="81">
        <f t="shared" si="2"/>
        <v>349</v>
      </c>
      <c r="M66" s="86"/>
      <c r="N66" s="99">
        <v>1100</v>
      </c>
      <c r="O66" s="50">
        <f t="shared" si="3"/>
        <v>383900</v>
      </c>
      <c r="P66" s="50">
        <f t="shared" si="4"/>
        <v>383900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18</v>
      </c>
      <c r="E67" s="24"/>
      <c r="F67" s="24"/>
      <c r="G67" s="16">
        <f t="shared" si="0"/>
        <v>18</v>
      </c>
      <c r="H67" s="24">
        <v>840</v>
      </c>
      <c r="I67" s="24"/>
      <c r="J67" s="76">
        <f t="shared" si="1"/>
        <v>-822</v>
      </c>
      <c r="K67" s="80">
        <v>1000</v>
      </c>
      <c r="L67" s="76">
        <f t="shared" si="2"/>
        <v>178</v>
      </c>
      <c r="M67" s="84"/>
      <c r="N67" s="99">
        <v>53</v>
      </c>
      <c r="O67" s="50">
        <f t="shared" si="3"/>
        <v>9434</v>
      </c>
      <c r="P67" s="50">
        <f t="shared" si="4"/>
        <v>-43566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456</v>
      </c>
      <c r="E70" s="24"/>
      <c r="F70" s="24"/>
      <c r="G70" s="16">
        <f t="shared" si="0"/>
        <v>456</v>
      </c>
      <c r="H70" s="24">
        <v>9</v>
      </c>
      <c r="I70" s="24"/>
      <c r="J70" s="76">
        <f t="shared" si="1"/>
        <v>447</v>
      </c>
      <c r="K70" s="80">
        <v>-153</v>
      </c>
      <c r="L70" s="76">
        <f t="shared" si="2"/>
        <v>294</v>
      </c>
      <c r="M70" s="86"/>
      <c r="N70" s="99">
        <v>260</v>
      </c>
      <c r="O70" s="50">
        <f t="shared" si="3"/>
        <v>76440</v>
      </c>
      <c r="P70" s="50">
        <f t="shared" si="4"/>
        <v>116220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3889</v>
      </c>
      <c r="E72" s="24"/>
      <c r="F72" s="24"/>
      <c r="G72" s="16">
        <f t="shared" si="0"/>
        <v>3889</v>
      </c>
      <c r="H72" s="24">
        <v>127</v>
      </c>
      <c r="I72" s="24"/>
      <c r="J72" s="76">
        <f t="shared" si="5"/>
        <v>3762</v>
      </c>
      <c r="K72" s="80">
        <v>-200</v>
      </c>
      <c r="L72" s="76">
        <f t="shared" si="2"/>
        <v>3562</v>
      </c>
      <c r="M72" s="30"/>
      <c r="N72" s="99">
        <v>39</v>
      </c>
      <c r="O72" s="50">
        <f t="shared" si="6"/>
        <v>138918</v>
      </c>
      <c r="P72" s="50">
        <f t="shared" si="7"/>
        <v>146718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19111</v>
      </c>
      <c r="E73" s="24"/>
      <c r="F73" s="24"/>
      <c r="G73" s="16">
        <f t="shared" si="0"/>
        <v>19111</v>
      </c>
      <c r="H73" s="24">
        <v>178</v>
      </c>
      <c r="I73" s="42"/>
      <c r="J73" s="76">
        <f t="shared" si="5"/>
        <v>18933</v>
      </c>
      <c r="K73" s="80">
        <v>0</v>
      </c>
      <c r="L73" s="76">
        <f t="shared" si="2"/>
        <v>18933</v>
      </c>
      <c r="M73" s="84"/>
      <c r="N73" s="99">
        <v>83</v>
      </c>
      <c r="O73" s="50">
        <f t="shared" si="6"/>
        <v>1571439</v>
      </c>
      <c r="P73" s="50">
        <f t="shared" si="7"/>
        <v>1571439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2518</v>
      </c>
      <c r="E75" s="24"/>
      <c r="F75" s="24"/>
      <c r="G75" s="16">
        <f t="shared" si="0"/>
        <v>2518</v>
      </c>
      <c r="H75" s="24">
        <v>275</v>
      </c>
      <c r="I75" s="24"/>
      <c r="J75" s="76">
        <f t="shared" si="5"/>
        <v>2243</v>
      </c>
      <c r="K75" s="80">
        <v>273</v>
      </c>
      <c r="L75" s="76">
        <f t="shared" si="2"/>
        <v>2516</v>
      </c>
      <c r="M75" s="86"/>
      <c r="N75" s="99">
        <v>16</v>
      </c>
      <c r="O75" s="50">
        <f t="shared" si="6"/>
        <v>40256</v>
      </c>
      <c r="P75" s="50">
        <f t="shared" si="7"/>
        <v>35888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415</v>
      </c>
      <c r="E76" s="24"/>
      <c r="F76" s="24"/>
      <c r="G76" s="16">
        <f t="shared" si="0"/>
        <v>415</v>
      </c>
      <c r="H76" s="24">
        <v>29</v>
      </c>
      <c r="I76" s="24"/>
      <c r="J76" s="76">
        <f t="shared" si="5"/>
        <v>386</v>
      </c>
      <c r="K76" s="80">
        <v>-250</v>
      </c>
      <c r="L76" s="76">
        <f t="shared" si="2"/>
        <v>136</v>
      </c>
      <c r="M76" s="30"/>
      <c r="N76" s="99">
        <v>400</v>
      </c>
      <c r="O76" s="50">
        <f t="shared" si="6"/>
        <v>54400</v>
      </c>
      <c r="P76" s="50">
        <f t="shared" si="7"/>
        <v>154400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367</v>
      </c>
      <c r="E78" s="24"/>
      <c r="F78" s="24"/>
      <c r="G78" s="16">
        <f t="shared" si="0"/>
        <v>367</v>
      </c>
      <c r="H78" s="24">
        <v>16</v>
      </c>
      <c r="I78" s="24"/>
      <c r="J78" s="76">
        <f t="shared" si="5"/>
        <v>351</v>
      </c>
      <c r="K78" s="80">
        <v>100</v>
      </c>
      <c r="L78" s="76">
        <f t="shared" si="2"/>
        <v>451</v>
      </c>
      <c r="M78" s="86"/>
      <c r="N78" s="99">
        <v>900</v>
      </c>
      <c r="O78" s="50">
        <f t="shared" si="6"/>
        <v>405900</v>
      </c>
      <c r="P78" s="50">
        <f t="shared" si="7"/>
        <v>315900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5756</v>
      </c>
      <c r="E83" s="98"/>
      <c r="F83" s="24"/>
      <c r="G83" s="16">
        <f t="shared" si="8"/>
        <v>5756</v>
      </c>
      <c r="H83" s="24"/>
      <c r="I83" s="95"/>
      <c r="J83" s="76">
        <f t="shared" si="5"/>
        <v>5756</v>
      </c>
      <c r="K83" s="81">
        <v>0</v>
      </c>
      <c r="L83" s="76">
        <f t="shared" si="2"/>
        <v>5756</v>
      </c>
      <c r="M83" s="85"/>
      <c r="N83" s="100">
        <v>64</v>
      </c>
      <c r="O83" s="50">
        <f t="shared" si="6"/>
        <v>368384</v>
      </c>
      <c r="P83" s="50">
        <f t="shared" si="7"/>
        <v>368384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20</v>
      </c>
      <c r="E84" s="89"/>
      <c r="F84" s="12"/>
      <c r="G84" s="45">
        <f t="shared" si="8"/>
        <v>20</v>
      </c>
      <c r="H84" s="12">
        <v>2</v>
      </c>
      <c r="I84" s="94"/>
      <c r="J84" s="82">
        <f t="shared" ref="J84:J97" si="9">D84+E84-H84-I84</f>
        <v>18</v>
      </c>
      <c r="K84" s="96">
        <v>0</v>
      </c>
      <c r="L84" s="82">
        <f t="shared" si="2"/>
        <v>18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/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260</v>
      </c>
      <c r="E86" s="90"/>
      <c r="F86" s="11"/>
      <c r="G86" s="16">
        <f t="shared" si="8"/>
        <v>260</v>
      </c>
      <c r="H86" s="88">
        <v>48</v>
      </c>
      <c r="I86" s="11"/>
      <c r="J86" s="76">
        <f t="shared" si="9"/>
        <v>212</v>
      </c>
      <c r="K86" s="97">
        <v>300</v>
      </c>
      <c r="L86" s="76">
        <f t="shared" si="2"/>
        <v>512</v>
      </c>
      <c r="M86" s="84"/>
      <c r="N86" s="99">
        <v>165</v>
      </c>
      <c r="O86" s="50">
        <f t="shared" si="6"/>
        <v>84480</v>
      </c>
      <c r="P86" s="50">
        <f t="shared" si="7"/>
        <v>34980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269</v>
      </c>
      <c r="E87" s="11"/>
      <c r="F87" s="11"/>
      <c r="G87" s="16">
        <f t="shared" si="8"/>
        <v>269</v>
      </c>
      <c r="H87" s="88">
        <v>4</v>
      </c>
      <c r="I87" s="11"/>
      <c r="J87" s="76">
        <f t="shared" si="9"/>
        <v>265</v>
      </c>
      <c r="K87" s="97">
        <v>-1</v>
      </c>
      <c r="L87" s="76">
        <f t="shared" si="2"/>
        <v>264</v>
      </c>
      <c r="M87" s="86"/>
      <c r="N87" s="99">
        <v>630</v>
      </c>
      <c r="O87" s="50">
        <f t="shared" si="6"/>
        <v>166320</v>
      </c>
      <c r="P87" s="50">
        <f t="shared" si="7"/>
        <v>166950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46</v>
      </c>
      <c r="E88" s="11"/>
      <c r="F88" s="11"/>
      <c r="G88" s="16">
        <f t="shared" si="8"/>
        <v>46</v>
      </c>
      <c r="H88" s="88">
        <v>6</v>
      </c>
      <c r="I88" s="11"/>
      <c r="J88" s="76">
        <f t="shared" si="9"/>
        <v>40</v>
      </c>
      <c r="K88" s="97">
        <v>0</v>
      </c>
      <c r="L88" s="76">
        <f t="shared" ref="L88:L97" si="10">J88+K88</f>
        <v>40</v>
      </c>
      <c r="M88" s="86"/>
      <c r="N88" s="99">
        <v>285</v>
      </c>
      <c r="O88" s="50">
        <f t="shared" si="6"/>
        <v>11400</v>
      </c>
      <c r="P88" s="50">
        <f t="shared" si="7"/>
        <v>11400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508</v>
      </c>
      <c r="E92" s="88"/>
      <c r="F92" s="11"/>
      <c r="G92" s="16">
        <f t="shared" si="8"/>
        <v>508</v>
      </c>
      <c r="H92" s="88">
        <v>26</v>
      </c>
      <c r="I92" s="11"/>
      <c r="J92" s="83">
        <f t="shared" si="9"/>
        <v>482</v>
      </c>
      <c r="K92" s="97">
        <v>0</v>
      </c>
      <c r="L92" s="76">
        <f t="shared" si="10"/>
        <v>482</v>
      </c>
      <c r="M92" s="86"/>
      <c r="N92" s="99">
        <v>113</v>
      </c>
      <c r="O92" s="50">
        <f t="shared" si="6"/>
        <v>54466</v>
      </c>
      <c r="P92" s="50">
        <f t="shared" si="7"/>
        <v>54466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301</v>
      </c>
      <c r="E94" s="88"/>
      <c r="F94" s="11"/>
      <c r="G94" s="16">
        <f t="shared" si="8"/>
        <v>301</v>
      </c>
      <c r="H94" s="88">
        <v>20</v>
      </c>
      <c r="I94" s="11"/>
      <c r="J94" s="83">
        <f t="shared" si="9"/>
        <v>281</v>
      </c>
      <c r="K94" s="97">
        <v>-50</v>
      </c>
      <c r="L94" s="76">
        <f t="shared" si="10"/>
        <v>231</v>
      </c>
      <c r="M94" s="86"/>
      <c r="N94" s="99">
        <v>950</v>
      </c>
      <c r="O94" s="50">
        <f t="shared" si="6"/>
        <v>219450</v>
      </c>
      <c r="P94" s="50">
        <f t="shared" si="7"/>
        <v>266950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1249325.2549999999</v>
      </c>
      <c r="E98" s="27">
        <f t="shared" ref="E98:L98" si="11">SUM(E6:E97)</f>
        <v>46820</v>
      </c>
      <c r="F98" s="27">
        <f t="shared" si="11"/>
        <v>0</v>
      </c>
      <c r="G98" s="27">
        <f t="shared" si="11"/>
        <v>1296145.2549999999</v>
      </c>
      <c r="H98" s="27">
        <f t="shared" si="11"/>
        <v>96341</v>
      </c>
      <c r="I98" s="27">
        <f t="shared" si="11"/>
        <v>0</v>
      </c>
      <c r="J98" s="27">
        <f t="shared" si="11"/>
        <v>1199804.2549999999</v>
      </c>
      <c r="K98" s="27">
        <f t="shared" si="11"/>
        <v>-577608</v>
      </c>
      <c r="L98" s="27">
        <f t="shared" si="11"/>
        <v>622196.25499999989</v>
      </c>
      <c r="M98" s="27">
        <f>SUM(M6:M96)</f>
        <v>0</v>
      </c>
      <c r="N98" s="51"/>
      <c r="O98" s="51">
        <f t="shared" ref="O98" si="12">SUM(O6:O97)</f>
        <v>26195773.950000003</v>
      </c>
      <c r="P98" s="51">
        <f>SUM(P6:P97)</f>
        <v>38481024.650000006</v>
      </c>
      <c r="Q98" s="57">
        <f>O98-P98</f>
        <v>-12285250.700000003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2" t="s">
        <v>115</v>
      </c>
      <c r="M100" s="112"/>
      <c r="O100" s="55" t="s">
        <v>110</v>
      </c>
      <c r="P100" s="54">
        <v>79909923</v>
      </c>
    </row>
    <row r="101" spans="1:22">
      <c r="P101" s="54">
        <f>P100-P98</f>
        <v>41428898.349999994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5" activePane="bottomLeft" state="frozen"/>
      <selection pane="bottomLeft" activeCell="Q102" sqref="Q102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148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-6249</v>
      </c>
      <c r="E6" s="15">
        <f>16970+15560</f>
        <v>32530</v>
      </c>
      <c r="F6" s="16">
        <f>125+31</f>
        <v>156</v>
      </c>
      <c r="G6" s="15">
        <f>D6+E6-F6</f>
        <v>26125</v>
      </c>
      <c r="H6" s="15">
        <v>12437</v>
      </c>
      <c r="I6" s="16"/>
      <c r="J6" s="15">
        <f>G6-H6-I6</f>
        <v>13688</v>
      </c>
      <c r="K6" s="15">
        <v>8000</v>
      </c>
      <c r="L6" s="15">
        <f>J6+K6</f>
        <v>21688</v>
      </c>
      <c r="M6" s="30" t="s">
        <v>75</v>
      </c>
      <c r="N6" s="99">
        <v>21.5</v>
      </c>
      <c r="O6" s="50">
        <f>L6*N6</f>
        <v>466292</v>
      </c>
      <c r="P6" s="50">
        <f>J6*N6</f>
        <v>294292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82410</v>
      </c>
      <c r="E7" s="15"/>
      <c r="F7" s="15"/>
      <c r="G7" s="15">
        <f t="shared" ref="G7:G80" si="0">D7+E7-F7</f>
        <v>82410</v>
      </c>
      <c r="H7" s="15">
        <v>4737</v>
      </c>
      <c r="I7" s="15"/>
      <c r="J7" s="15">
        <f t="shared" ref="J7:J70" si="1">G7-H7-I7</f>
        <v>77673</v>
      </c>
      <c r="K7" s="15">
        <v>-5000</v>
      </c>
      <c r="L7" s="15">
        <f t="shared" ref="L7:L87" si="2">J7+K7</f>
        <v>72673</v>
      </c>
      <c r="M7" s="30" t="s">
        <v>75</v>
      </c>
      <c r="N7" s="99">
        <v>38</v>
      </c>
      <c r="O7" s="50">
        <f t="shared" ref="O7:O70" si="3">L7*N7</f>
        <v>2761574</v>
      </c>
      <c r="P7" s="50">
        <f t="shared" ref="P7:P70" si="4">J7*N7</f>
        <v>2951574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46601</v>
      </c>
      <c r="E8" s="15"/>
      <c r="F8" s="15"/>
      <c r="G8" s="15">
        <f t="shared" si="0"/>
        <v>46601</v>
      </c>
      <c r="H8" s="15"/>
      <c r="I8" s="15"/>
      <c r="J8" s="15">
        <f t="shared" si="1"/>
        <v>46601</v>
      </c>
      <c r="K8" s="15">
        <v>0</v>
      </c>
      <c r="L8" s="15">
        <f t="shared" si="2"/>
        <v>46601</v>
      </c>
      <c r="M8" s="30" t="s">
        <v>75</v>
      </c>
      <c r="N8" s="99">
        <v>12</v>
      </c>
      <c r="O8" s="50">
        <f t="shared" si="3"/>
        <v>559212</v>
      </c>
      <c r="P8" s="50">
        <f t="shared" si="4"/>
        <v>559212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652590</v>
      </c>
      <c r="E10" s="15"/>
      <c r="F10" s="15"/>
      <c r="G10" s="15">
        <f t="shared" si="0"/>
        <v>652590</v>
      </c>
      <c r="H10" s="15">
        <v>1053</v>
      </c>
      <c r="I10" s="15"/>
      <c r="J10" s="15">
        <f t="shared" si="1"/>
        <v>651537</v>
      </c>
      <c r="K10" s="15">
        <v>-607000</v>
      </c>
      <c r="L10" s="15">
        <f t="shared" si="2"/>
        <v>44537</v>
      </c>
      <c r="M10" s="30"/>
      <c r="N10" s="99">
        <v>23.09</v>
      </c>
      <c r="O10" s="50">
        <f t="shared" si="3"/>
        <v>1028359.33</v>
      </c>
      <c r="P10" s="50">
        <f t="shared" si="4"/>
        <v>15043989.33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3011</v>
      </c>
      <c r="E11" s="15"/>
      <c r="F11" s="15"/>
      <c r="G11" s="15">
        <f t="shared" si="0"/>
        <v>3011</v>
      </c>
      <c r="H11" s="15">
        <v>146</v>
      </c>
      <c r="I11" s="15"/>
      <c r="J11" s="15">
        <f t="shared" si="1"/>
        <v>2865</v>
      </c>
      <c r="K11" s="15">
        <v>2000</v>
      </c>
      <c r="L11" s="15">
        <f t="shared" si="2"/>
        <v>4865</v>
      </c>
      <c r="M11" s="30" t="s">
        <v>75</v>
      </c>
      <c r="N11" s="99">
        <v>16.5</v>
      </c>
      <c r="O11" s="50">
        <f t="shared" si="3"/>
        <v>80272.5</v>
      </c>
      <c r="P11" s="50">
        <f t="shared" si="4"/>
        <v>47272.5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-1767</v>
      </c>
      <c r="E13" s="15"/>
      <c r="F13" s="15"/>
      <c r="G13" s="15">
        <f t="shared" si="0"/>
        <v>-1767</v>
      </c>
      <c r="H13" s="15">
        <v>810</v>
      </c>
      <c r="I13" s="15"/>
      <c r="J13" s="15">
        <f t="shared" si="1"/>
        <v>-2577</v>
      </c>
      <c r="K13" s="15">
        <v>5000</v>
      </c>
      <c r="L13" s="15">
        <f t="shared" si="2"/>
        <v>2423</v>
      </c>
      <c r="M13" s="30" t="s">
        <v>75</v>
      </c>
      <c r="N13" s="99">
        <v>27.5</v>
      </c>
      <c r="O13" s="50">
        <f t="shared" si="3"/>
        <v>66632.5</v>
      </c>
      <c r="P13" s="50">
        <f t="shared" si="4"/>
        <v>-70867.5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12380</v>
      </c>
      <c r="E14" s="15"/>
      <c r="F14" s="15"/>
      <c r="G14" s="15">
        <f t="shared" si="0"/>
        <v>12380</v>
      </c>
      <c r="H14" s="15">
        <v>52</v>
      </c>
      <c r="I14" s="16"/>
      <c r="J14" s="15">
        <f t="shared" si="1"/>
        <v>12328</v>
      </c>
      <c r="K14" s="15">
        <v>-1000</v>
      </c>
      <c r="L14" s="15">
        <f t="shared" si="2"/>
        <v>11328</v>
      </c>
      <c r="M14" s="30"/>
      <c r="N14" s="99">
        <v>59</v>
      </c>
      <c r="O14" s="50">
        <f t="shared" si="3"/>
        <v>668352</v>
      </c>
      <c r="P14" s="50">
        <f t="shared" si="4"/>
        <v>727352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23921</v>
      </c>
      <c r="E16" s="29"/>
      <c r="F16" s="15"/>
      <c r="G16" s="15">
        <f t="shared" si="0"/>
        <v>23921</v>
      </c>
      <c r="H16" s="15">
        <v>710</v>
      </c>
      <c r="I16" s="16"/>
      <c r="J16" s="15">
        <f t="shared" si="1"/>
        <v>23211</v>
      </c>
      <c r="K16" s="15">
        <v>0</v>
      </c>
      <c r="L16" s="15">
        <f>J16+K16</f>
        <v>23211</v>
      </c>
      <c r="M16" s="30"/>
      <c r="N16" s="99">
        <v>43.25</v>
      </c>
      <c r="O16" s="50">
        <f t="shared" si="3"/>
        <v>1003875.75</v>
      </c>
      <c r="P16" s="50">
        <f t="shared" si="4"/>
        <v>1003875.75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9649</v>
      </c>
      <c r="E19" s="15"/>
      <c r="F19" s="15"/>
      <c r="G19" s="15">
        <f t="shared" si="0"/>
        <v>9649</v>
      </c>
      <c r="H19" s="15">
        <v>431</v>
      </c>
      <c r="I19" s="16"/>
      <c r="J19" s="15">
        <f t="shared" si="1"/>
        <v>9218</v>
      </c>
      <c r="K19" s="15">
        <v>1000</v>
      </c>
      <c r="L19" s="15">
        <f t="shared" si="2"/>
        <v>10218</v>
      </c>
      <c r="M19" s="30"/>
      <c r="N19" s="99">
        <v>22.8</v>
      </c>
      <c r="O19" s="50">
        <f t="shared" si="3"/>
        <v>232970.4</v>
      </c>
      <c r="P19" s="50">
        <f t="shared" si="4"/>
        <v>210170.4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6601</v>
      </c>
      <c r="E20" s="15"/>
      <c r="F20" s="15"/>
      <c r="G20" s="15">
        <f t="shared" si="0"/>
        <v>6601</v>
      </c>
      <c r="H20" s="15">
        <v>156</v>
      </c>
      <c r="I20" s="16"/>
      <c r="J20" s="15">
        <f t="shared" si="1"/>
        <v>6445</v>
      </c>
      <c r="K20" s="15">
        <v>0</v>
      </c>
      <c r="L20" s="15">
        <f t="shared" si="2"/>
        <v>6445</v>
      </c>
      <c r="M20" s="30" t="s">
        <v>75</v>
      </c>
      <c r="N20" s="99">
        <v>20</v>
      </c>
      <c r="O20" s="50">
        <f t="shared" si="3"/>
        <v>128900</v>
      </c>
      <c r="P20" s="50">
        <f t="shared" si="4"/>
        <v>128900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4935</v>
      </c>
      <c r="E21" s="15"/>
      <c r="F21" s="15"/>
      <c r="G21" s="15">
        <f t="shared" si="0"/>
        <v>4935</v>
      </c>
      <c r="H21" s="15">
        <v>217</v>
      </c>
      <c r="I21" s="16"/>
      <c r="J21" s="15">
        <f t="shared" si="1"/>
        <v>4718</v>
      </c>
      <c r="K21" s="15">
        <v>0</v>
      </c>
      <c r="L21" s="15">
        <f t="shared" si="2"/>
        <v>4718</v>
      </c>
      <c r="M21" s="30"/>
      <c r="N21" s="99">
        <v>8.5</v>
      </c>
      <c r="O21" s="50">
        <f t="shared" si="3"/>
        <v>40103</v>
      </c>
      <c r="P21" s="50">
        <f t="shared" si="4"/>
        <v>40103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239875</v>
      </c>
      <c r="E22" s="15"/>
      <c r="F22" s="15"/>
      <c r="G22" s="15">
        <f t="shared" si="0"/>
        <v>239875</v>
      </c>
      <c r="H22" s="15">
        <v>1305</v>
      </c>
      <c r="I22" s="16"/>
      <c r="J22" s="15">
        <f t="shared" si="1"/>
        <v>238570</v>
      </c>
      <c r="K22" s="15">
        <v>8000</v>
      </c>
      <c r="L22" s="15">
        <f t="shared" si="2"/>
        <v>246570</v>
      </c>
      <c r="M22" s="30"/>
      <c r="N22" s="99">
        <v>8.5</v>
      </c>
      <c r="O22" s="50">
        <f t="shared" si="3"/>
        <v>2095845</v>
      </c>
      <c r="P22" s="50">
        <f t="shared" si="4"/>
        <v>2027845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-1627</v>
      </c>
      <c r="E23" s="15">
        <v>11100</v>
      </c>
      <c r="F23" s="15"/>
      <c r="G23" s="15">
        <f t="shared" si="0"/>
        <v>9473</v>
      </c>
      <c r="H23" s="15">
        <v>394</v>
      </c>
      <c r="I23" s="16"/>
      <c r="J23" s="15">
        <f t="shared" si="1"/>
        <v>9079</v>
      </c>
      <c r="K23" s="15">
        <v>1500</v>
      </c>
      <c r="L23" s="15">
        <f t="shared" si="2"/>
        <v>10579</v>
      </c>
      <c r="M23" s="30" t="s">
        <v>75</v>
      </c>
      <c r="N23" s="99">
        <v>82</v>
      </c>
      <c r="O23" s="50">
        <f t="shared" si="3"/>
        <v>867478</v>
      </c>
      <c r="P23" s="50">
        <f t="shared" si="4"/>
        <v>744478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12038</v>
      </c>
      <c r="E24" s="29"/>
      <c r="F24" s="29"/>
      <c r="G24" s="15">
        <f t="shared" si="0"/>
        <v>12038</v>
      </c>
      <c r="H24" s="15"/>
      <c r="I24" s="16"/>
      <c r="J24" s="15">
        <f t="shared" si="1"/>
        <v>12038</v>
      </c>
      <c r="K24" s="15">
        <v>2713</v>
      </c>
      <c r="L24" s="15">
        <f t="shared" si="2"/>
        <v>14751</v>
      </c>
      <c r="M24" s="30"/>
      <c r="N24" s="99">
        <v>22.1</v>
      </c>
      <c r="O24" s="50">
        <f t="shared" si="3"/>
        <v>325997.10000000003</v>
      </c>
      <c r="P24" s="50">
        <f t="shared" si="4"/>
        <v>266039.8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3102</v>
      </c>
      <c r="E26" s="15"/>
      <c r="F26" s="15"/>
      <c r="G26" s="15">
        <f t="shared" si="0"/>
        <v>3102</v>
      </c>
      <c r="H26" s="15">
        <v>470</v>
      </c>
      <c r="I26" s="16"/>
      <c r="J26" s="76">
        <f t="shared" si="1"/>
        <v>2632</v>
      </c>
      <c r="K26" s="76">
        <v>0</v>
      </c>
      <c r="L26" s="76">
        <f t="shared" si="2"/>
        <v>2632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4204</v>
      </c>
      <c r="E32" s="15">
        <v>13580</v>
      </c>
      <c r="F32" s="15"/>
      <c r="G32" s="15">
        <f t="shared" si="0"/>
        <v>17784</v>
      </c>
      <c r="H32" s="15">
        <v>2756</v>
      </c>
      <c r="I32" s="16"/>
      <c r="J32" s="76">
        <f t="shared" si="1"/>
        <v>15028</v>
      </c>
      <c r="K32" s="76"/>
      <c r="L32" s="76">
        <f t="shared" si="2"/>
        <v>15028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15143</v>
      </c>
      <c r="E33" s="15"/>
      <c r="F33" s="15"/>
      <c r="G33" s="15">
        <f t="shared" si="0"/>
        <v>15143</v>
      </c>
      <c r="H33" s="15">
        <v>105</v>
      </c>
      <c r="I33" s="16"/>
      <c r="J33" s="76">
        <f t="shared" si="1"/>
        <v>15038</v>
      </c>
      <c r="K33" s="76">
        <v>206</v>
      </c>
      <c r="L33" s="76">
        <f t="shared" si="2"/>
        <v>15244</v>
      </c>
      <c r="M33" s="30"/>
      <c r="N33" s="99">
        <v>12.49</v>
      </c>
      <c r="O33" s="50">
        <f t="shared" si="3"/>
        <v>190397.56</v>
      </c>
      <c r="P33" s="50">
        <f t="shared" si="4"/>
        <v>187824.62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197</v>
      </c>
      <c r="E34" s="15"/>
      <c r="F34" s="15"/>
      <c r="G34" s="15">
        <f t="shared" si="0"/>
        <v>197</v>
      </c>
      <c r="H34" s="15">
        <v>3</v>
      </c>
      <c r="I34" s="16"/>
      <c r="J34" s="76">
        <f t="shared" si="1"/>
        <v>194</v>
      </c>
      <c r="K34" s="76">
        <v>-50</v>
      </c>
      <c r="L34" s="76">
        <f t="shared" si="2"/>
        <v>144</v>
      </c>
      <c r="M34" s="77"/>
      <c r="N34" s="99">
        <v>435</v>
      </c>
      <c r="O34" s="50">
        <f t="shared" si="3"/>
        <v>62640</v>
      </c>
      <c r="P34" s="50">
        <f t="shared" si="4"/>
        <v>84390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138</v>
      </c>
      <c r="E35" s="15"/>
      <c r="F35" s="15"/>
      <c r="G35" s="15">
        <f t="shared" si="0"/>
        <v>138</v>
      </c>
      <c r="H35" s="15">
        <v>3</v>
      </c>
      <c r="I35" s="16"/>
      <c r="J35" s="76">
        <f>G35-H35-I35</f>
        <v>135</v>
      </c>
      <c r="K35" s="76">
        <v>-50</v>
      </c>
      <c r="L35" s="76">
        <f t="shared" si="2"/>
        <v>85</v>
      </c>
      <c r="M35" s="84"/>
      <c r="N35" s="99">
        <v>730</v>
      </c>
      <c r="O35" s="50">
        <f t="shared" si="3"/>
        <v>62050</v>
      </c>
      <c r="P35" s="50">
        <f t="shared" si="4"/>
        <v>98550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349</v>
      </c>
      <c r="E36" s="15"/>
      <c r="F36" s="15"/>
      <c r="G36" s="15">
        <f t="shared" si="0"/>
        <v>349</v>
      </c>
      <c r="H36" s="16">
        <v>2</v>
      </c>
      <c r="I36" s="16"/>
      <c r="J36" s="76">
        <f t="shared" si="1"/>
        <v>347</v>
      </c>
      <c r="K36" s="76">
        <v>-125</v>
      </c>
      <c r="L36" s="76">
        <f t="shared" si="2"/>
        <v>222</v>
      </c>
      <c r="M36" s="84"/>
      <c r="N36" s="99">
        <v>155</v>
      </c>
      <c r="O36" s="50">
        <f t="shared" si="3"/>
        <v>34410</v>
      </c>
      <c r="P36" s="50">
        <f t="shared" si="4"/>
        <v>53785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1568</v>
      </c>
      <c r="E37" s="15"/>
      <c r="F37" s="15"/>
      <c r="G37" s="15">
        <f t="shared" si="0"/>
        <v>1568</v>
      </c>
      <c r="H37" s="16">
        <v>41</v>
      </c>
      <c r="I37" s="16"/>
      <c r="J37" s="76">
        <f t="shared" si="1"/>
        <v>1527</v>
      </c>
      <c r="K37" s="76">
        <v>0</v>
      </c>
      <c r="L37" s="76">
        <f t="shared" si="2"/>
        <v>1527</v>
      </c>
      <c r="M37" s="84"/>
      <c r="N37" s="99">
        <v>125</v>
      </c>
      <c r="O37" s="50">
        <f t="shared" si="3"/>
        <v>190875</v>
      </c>
      <c r="P37" s="50">
        <f t="shared" si="4"/>
        <v>190875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208</v>
      </c>
      <c r="E39" s="15"/>
      <c r="F39" s="15"/>
      <c r="G39" s="15">
        <f t="shared" si="0"/>
        <v>208</v>
      </c>
      <c r="H39" s="16">
        <v>3</v>
      </c>
      <c r="I39" s="16"/>
      <c r="J39" s="76">
        <f t="shared" si="1"/>
        <v>205</v>
      </c>
      <c r="K39" s="76">
        <v>-70</v>
      </c>
      <c r="L39" s="76">
        <f t="shared" si="2"/>
        <v>135</v>
      </c>
      <c r="M39" s="84"/>
      <c r="N39" s="99">
        <v>975</v>
      </c>
      <c r="O39" s="50">
        <f t="shared" si="3"/>
        <v>131625</v>
      </c>
      <c r="P39" s="50">
        <f t="shared" si="4"/>
        <v>199875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224</v>
      </c>
      <c r="E41" s="15"/>
      <c r="F41" s="15"/>
      <c r="G41" s="15">
        <f t="shared" si="0"/>
        <v>224</v>
      </c>
      <c r="H41" s="16">
        <v>5</v>
      </c>
      <c r="I41" s="16"/>
      <c r="J41" s="76">
        <f t="shared" si="1"/>
        <v>219</v>
      </c>
      <c r="K41" s="76">
        <v>500</v>
      </c>
      <c r="L41" s="76">
        <f t="shared" si="2"/>
        <v>719</v>
      </c>
      <c r="M41" s="84"/>
      <c r="N41" s="99">
        <v>125</v>
      </c>
      <c r="O41" s="50">
        <f t="shared" si="3"/>
        <v>89875</v>
      </c>
      <c r="P41" s="50">
        <f t="shared" si="4"/>
        <v>27375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16340</v>
      </c>
      <c r="E46" s="15"/>
      <c r="F46" s="15"/>
      <c r="G46" s="15">
        <f t="shared" si="0"/>
        <v>16340</v>
      </c>
      <c r="H46" s="16">
        <v>47</v>
      </c>
      <c r="I46" s="16"/>
      <c r="J46" s="76">
        <f t="shared" si="1"/>
        <v>16293</v>
      </c>
      <c r="K46" s="76">
        <v>-180</v>
      </c>
      <c r="L46" s="76">
        <f t="shared" si="2"/>
        <v>16113</v>
      </c>
      <c r="M46" s="84"/>
      <c r="N46" s="99">
        <v>275</v>
      </c>
      <c r="O46" s="50">
        <f t="shared" si="3"/>
        <v>4431075</v>
      </c>
      <c r="P46" s="50">
        <f t="shared" si="4"/>
        <v>4480575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-29</v>
      </c>
      <c r="E49" s="15"/>
      <c r="F49" s="15"/>
      <c r="G49" s="15">
        <f t="shared" si="0"/>
        <v>-29</v>
      </c>
      <c r="H49" s="15">
        <v>16</v>
      </c>
      <c r="I49" s="16"/>
      <c r="J49" s="76">
        <f t="shared" si="1"/>
        <v>-45</v>
      </c>
      <c r="K49" s="76">
        <v>45</v>
      </c>
      <c r="L49" s="76">
        <f t="shared" si="2"/>
        <v>0</v>
      </c>
      <c r="M49" s="84"/>
      <c r="N49" s="99">
        <v>800</v>
      </c>
      <c r="O49" s="50">
        <f t="shared" si="3"/>
        <v>0</v>
      </c>
      <c r="P49" s="50">
        <f t="shared" si="4"/>
        <v>-36000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86</v>
      </c>
      <c r="E53" s="15"/>
      <c r="F53" s="15"/>
      <c r="G53" s="15">
        <f t="shared" si="0"/>
        <v>86</v>
      </c>
      <c r="H53" s="15">
        <v>1</v>
      </c>
      <c r="I53" s="20"/>
      <c r="J53" s="76">
        <f t="shared" si="1"/>
        <v>85</v>
      </c>
      <c r="K53" s="76">
        <v>0</v>
      </c>
      <c r="L53" s="76">
        <f t="shared" si="2"/>
        <v>85</v>
      </c>
      <c r="M53" s="84"/>
      <c r="N53" s="99">
        <v>1600</v>
      </c>
      <c r="O53" s="50">
        <f t="shared" si="3"/>
        <v>136000</v>
      </c>
      <c r="P53" s="50">
        <f t="shared" si="4"/>
        <v>136000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750</v>
      </c>
      <c r="E54" s="15"/>
      <c r="F54" s="15"/>
      <c r="G54" s="15">
        <f t="shared" si="0"/>
        <v>750</v>
      </c>
      <c r="H54" s="15"/>
      <c r="I54" s="16"/>
      <c r="J54" s="76">
        <f t="shared" si="1"/>
        <v>750</v>
      </c>
      <c r="K54" s="76">
        <v>-350</v>
      </c>
      <c r="L54" s="76">
        <f t="shared" si="2"/>
        <v>400</v>
      </c>
      <c r="M54" s="84"/>
      <c r="N54" s="99">
        <v>375</v>
      </c>
      <c r="O54" s="50">
        <f t="shared" si="3"/>
        <v>150000</v>
      </c>
      <c r="P54" s="50">
        <f t="shared" si="4"/>
        <v>281250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132</v>
      </c>
      <c r="E55" s="15"/>
      <c r="F55" s="15"/>
      <c r="G55" s="15">
        <f t="shared" si="0"/>
        <v>132</v>
      </c>
      <c r="H55" s="15"/>
      <c r="I55" s="21"/>
      <c r="J55" s="76">
        <f t="shared" si="1"/>
        <v>132</v>
      </c>
      <c r="K55" s="76">
        <v>9</v>
      </c>
      <c r="L55" s="76">
        <f t="shared" si="2"/>
        <v>141</v>
      </c>
      <c r="M55" s="30"/>
      <c r="N55" s="99">
        <v>425</v>
      </c>
      <c r="O55" s="50">
        <f t="shared" si="3"/>
        <v>59925</v>
      </c>
      <c r="P55" s="50">
        <f t="shared" si="4"/>
        <v>56100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337</v>
      </c>
      <c r="E56" s="15"/>
      <c r="F56" s="15"/>
      <c r="G56" s="15">
        <f t="shared" si="0"/>
        <v>337</v>
      </c>
      <c r="H56" s="15">
        <v>7</v>
      </c>
      <c r="I56" s="22"/>
      <c r="J56" s="76">
        <f t="shared" si="1"/>
        <v>330</v>
      </c>
      <c r="K56" s="76">
        <v>-200</v>
      </c>
      <c r="L56" s="76">
        <f t="shared" si="2"/>
        <v>130</v>
      </c>
      <c r="M56" s="84"/>
      <c r="N56" s="99">
        <v>390</v>
      </c>
      <c r="O56" s="50">
        <f t="shared" si="3"/>
        <v>50700</v>
      </c>
      <c r="P56" s="50">
        <f t="shared" si="4"/>
        <v>128700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5</v>
      </c>
      <c r="E58" s="15"/>
      <c r="F58" s="15"/>
      <c r="G58" s="15">
        <f t="shared" si="0"/>
        <v>5</v>
      </c>
      <c r="H58" s="15">
        <v>7</v>
      </c>
      <c r="I58" s="16"/>
      <c r="J58" s="76">
        <f t="shared" si="1"/>
        <v>-2</v>
      </c>
      <c r="K58" s="76">
        <v>0</v>
      </c>
      <c r="L58" s="76">
        <f t="shared" si="2"/>
        <v>-2</v>
      </c>
      <c r="M58" s="30"/>
      <c r="N58" s="99">
        <v>132</v>
      </c>
      <c r="O58" s="50">
        <f t="shared" si="3"/>
        <v>-264</v>
      </c>
      <c r="P58" s="50">
        <f t="shared" si="4"/>
        <v>-264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242</v>
      </c>
      <c r="E59" s="15"/>
      <c r="F59" s="15"/>
      <c r="G59" s="15">
        <f t="shared" si="0"/>
        <v>242</v>
      </c>
      <c r="H59" s="15">
        <v>8</v>
      </c>
      <c r="I59" s="16"/>
      <c r="J59" s="76">
        <f t="shared" si="1"/>
        <v>234</v>
      </c>
      <c r="K59" s="76">
        <v>0</v>
      </c>
      <c r="L59" s="76">
        <f t="shared" si="2"/>
        <v>234</v>
      </c>
      <c r="M59" s="84"/>
      <c r="N59" s="99">
        <v>570</v>
      </c>
      <c r="O59" s="50">
        <f t="shared" si="3"/>
        <v>133380</v>
      </c>
      <c r="P59" s="50">
        <f t="shared" si="4"/>
        <v>133380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5837</v>
      </c>
      <c r="E62" s="15"/>
      <c r="F62" s="15"/>
      <c r="G62" s="15">
        <f t="shared" si="0"/>
        <v>5837</v>
      </c>
      <c r="H62" s="15">
        <v>29</v>
      </c>
      <c r="I62" s="16"/>
      <c r="J62" s="76">
        <f t="shared" si="1"/>
        <v>5808</v>
      </c>
      <c r="K62" s="76">
        <v>187</v>
      </c>
      <c r="L62" s="76">
        <f t="shared" si="2"/>
        <v>5995</v>
      </c>
      <c r="M62" s="30"/>
      <c r="N62" s="99">
        <v>87.38</v>
      </c>
      <c r="O62" s="50">
        <f t="shared" si="3"/>
        <v>523843.1</v>
      </c>
      <c r="P62" s="50">
        <f t="shared" si="4"/>
        <v>507503.04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15</v>
      </c>
      <c r="E63" s="15"/>
      <c r="F63" s="15"/>
      <c r="G63" s="15">
        <f t="shared" si="0"/>
        <v>15</v>
      </c>
      <c r="H63" s="15"/>
      <c r="I63" s="16"/>
      <c r="J63" s="76">
        <f t="shared" si="1"/>
        <v>15</v>
      </c>
      <c r="K63" s="76">
        <v>300</v>
      </c>
      <c r="L63" s="76">
        <f t="shared" si="2"/>
        <v>315</v>
      </c>
      <c r="M63" s="84"/>
      <c r="N63" s="99">
        <v>290</v>
      </c>
      <c r="O63" s="50">
        <f t="shared" si="3"/>
        <v>91350</v>
      </c>
      <c r="P63" s="50">
        <f t="shared" si="4"/>
        <v>4350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218</v>
      </c>
      <c r="E64" s="23"/>
      <c r="F64" s="23"/>
      <c r="G64" s="23">
        <f t="shared" si="0"/>
        <v>218</v>
      </c>
      <c r="H64" s="23">
        <v>8</v>
      </c>
      <c r="I64" s="23"/>
      <c r="J64" s="76">
        <f t="shared" si="1"/>
        <v>210</v>
      </c>
      <c r="K64" s="79">
        <v>100</v>
      </c>
      <c r="L64" s="76">
        <f t="shared" si="2"/>
        <v>310</v>
      </c>
      <c r="M64" s="30"/>
      <c r="N64" s="99">
        <v>70</v>
      </c>
      <c r="O64" s="50">
        <f t="shared" si="3"/>
        <v>21700</v>
      </c>
      <c r="P64" s="50">
        <f t="shared" si="4"/>
        <v>14700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235</v>
      </c>
      <c r="E65" s="24"/>
      <c r="F65" s="24"/>
      <c r="G65" s="16">
        <f t="shared" si="0"/>
        <v>235</v>
      </c>
      <c r="H65" s="24">
        <v>35</v>
      </c>
      <c r="I65" s="24"/>
      <c r="J65" s="76">
        <f t="shared" si="1"/>
        <v>200</v>
      </c>
      <c r="K65" s="80">
        <v>-200</v>
      </c>
      <c r="L65" s="76">
        <f t="shared" si="2"/>
        <v>0</v>
      </c>
      <c r="M65" s="86"/>
      <c r="N65" s="99">
        <v>240</v>
      </c>
      <c r="O65" s="50">
        <f t="shared" si="3"/>
        <v>0</v>
      </c>
      <c r="P65" s="50">
        <f t="shared" si="4"/>
        <v>48000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349</v>
      </c>
      <c r="E66" s="24"/>
      <c r="F66" s="24"/>
      <c r="G66" s="16">
        <f t="shared" si="0"/>
        <v>349</v>
      </c>
      <c r="H66" s="24">
        <v>4</v>
      </c>
      <c r="I66" s="24"/>
      <c r="J66" s="76">
        <f t="shared" si="1"/>
        <v>345</v>
      </c>
      <c r="K66" s="81">
        <v>0</v>
      </c>
      <c r="L66" s="81">
        <f t="shared" si="2"/>
        <v>345</v>
      </c>
      <c r="M66" s="86"/>
      <c r="N66" s="99">
        <v>1100</v>
      </c>
      <c r="O66" s="50">
        <f t="shared" si="3"/>
        <v>379500</v>
      </c>
      <c r="P66" s="50">
        <f t="shared" si="4"/>
        <v>379500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-822</v>
      </c>
      <c r="E67" s="24"/>
      <c r="F67" s="24"/>
      <c r="G67" s="16">
        <f t="shared" si="0"/>
        <v>-822</v>
      </c>
      <c r="H67" s="24">
        <v>219</v>
      </c>
      <c r="I67" s="24"/>
      <c r="J67" s="76">
        <f t="shared" si="1"/>
        <v>-1041</v>
      </c>
      <c r="K67" s="80">
        <v>1000</v>
      </c>
      <c r="L67" s="76">
        <f t="shared" si="2"/>
        <v>-41</v>
      </c>
      <c r="M67" s="84"/>
      <c r="N67" s="99">
        <v>53</v>
      </c>
      <c r="O67" s="50">
        <f t="shared" si="3"/>
        <v>-2173</v>
      </c>
      <c r="P67" s="50">
        <f t="shared" si="4"/>
        <v>-55173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447</v>
      </c>
      <c r="E70" s="24"/>
      <c r="F70" s="24"/>
      <c r="G70" s="16">
        <f t="shared" si="0"/>
        <v>447</v>
      </c>
      <c r="H70" s="24">
        <v>3</v>
      </c>
      <c r="I70" s="24"/>
      <c r="J70" s="76">
        <f t="shared" si="1"/>
        <v>444</v>
      </c>
      <c r="K70" s="80">
        <v>-153</v>
      </c>
      <c r="L70" s="76">
        <f t="shared" si="2"/>
        <v>291</v>
      </c>
      <c r="M70" s="86"/>
      <c r="N70" s="99">
        <v>260</v>
      </c>
      <c r="O70" s="50">
        <f t="shared" si="3"/>
        <v>75660</v>
      </c>
      <c r="P70" s="50">
        <f t="shared" si="4"/>
        <v>115440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3762</v>
      </c>
      <c r="E72" s="24"/>
      <c r="F72" s="24"/>
      <c r="G72" s="16">
        <f t="shared" si="0"/>
        <v>3762</v>
      </c>
      <c r="H72" s="24">
        <v>35</v>
      </c>
      <c r="I72" s="24"/>
      <c r="J72" s="76">
        <f t="shared" si="5"/>
        <v>3727</v>
      </c>
      <c r="K72" s="80">
        <v>-200</v>
      </c>
      <c r="L72" s="76">
        <f t="shared" si="2"/>
        <v>3527</v>
      </c>
      <c r="M72" s="30"/>
      <c r="N72" s="99">
        <v>39</v>
      </c>
      <c r="O72" s="50">
        <f t="shared" si="6"/>
        <v>137553</v>
      </c>
      <c r="P72" s="50">
        <f t="shared" si="7"/>
        <v>145353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18933</v>
      </c>
      <c r="E73" s="24"/>
      <c r="F73" s="24"/>
      <c r="G73" s="16">
        <f t="shared" si="0"/>
        <v>18933</v>
      </c>
      <c r="H73" s="24">
        <v>42</v>
      </c>
      <c r="I73" s="42"/>
      <c r="J73" s="76">
        <f t="shared" si="5"/>
        <v>18891</v>
      </c>
      <c r="K73" s="80">
        <v>0</v>
      </c>
      <c r="L73" s="76">
        <f t="shared" si="2"/>
        <v>18891</v>
      </c>
      <c r="M73" s="84"/>
      <c r="N73" s="99">
        <v>83</v>
      </c>
      <c r="O73" s="50">
        <f t="shared" si="6"/>
        <v>1567953</v>
      </c>
      <c r="P73" s="50">
        <f t="shared" si="7"/>
        <v>1567953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2243</v>
      </c>
      <c r="E75" s="24"/>
      <c r="F75" s="24"/>
      <c r="G75" s="16">
        <f t="shared" si="0"/>
        <v>2243</v>
      </c>
      <c r="H75" s="24">
        <v>89</v>
      </c>
      <c r="I75" s="24"/>
      <c r="J75" s="76">
        <f t="shared" si="5"/>
        <v>2154</v>
      </c>
      <c r="K75" s="80">
        <v>273</v>
      </c>
      <c r="L75" s="76">
        <f t="shared" si="2"/>
        <v>2427</v>
      </c>
      <c r="M75" s="86"/>
      <c r="N75" s="99">
        <v>16</v>
      </c>
      <c r="O75" s="50">
        <f t="shared" si="6"/>
        <v>38832</v>
      </c>
      <c r="P75" s="50">
        <f t="shared" si="7"/>
        <v>34464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386</v>
      </c>
      <c r="E76" s="24"/>
      <c r="F76" s="24"/>
      <c r="G76" s="16">
        <f t="shared" si="0"/>
        <v>386</v>
      </c>
      <c r="H76" s="24">
        <v>8</v>
      </c>
      <c r="I76" s="24"/>
      <c r="J76" s="76">
        <f t="shared" si="5"/>
        <v>378</v>
      </c>
      <c r="K76" s="80">
        <v>-250</v>
      </c>
      <c r="L76" s="76">
        <f t="shared" si="2"/>
        <v>128</v>
      </c>
      <c r="M76" s="30"/>
      <c r="N76" s="99">
        <v>400</v>
      </c>
      <c r="O76" s="50">
        <f t="shared" si="6"/>
        <v>51200</v>
      </c>
      <c r="P76" s="50">
        <f t="shared" si="7"/>
        <v>151200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351</v>
      </c>
      <c r="E78" s="24"/>
      <c r="F78" s="24"/>
      <c r="G78" s="16">
        <f t="shared" si="0"/>
        <v>351</v>
      </c>
      <c r="H78" s="24">
        <v>4</v>
      </c>
      <c r="I78" s="24"/>
      <c r="J78" s="76">
        <f t="shared" si="5"/>
        <v>347</v>
      </c>
      <c r="K78" s="80">
        <v>100</v>
      </c>
      <c r="L78" s="76">
        <f t="shared" si="2"/>
        <v>447</v>
      </c>
      <c r="M78" s="86"/>
      <c r="N78" s="99">
        <v>900</v>
      </c>
      <c r="O78" s="50">
        <f t="shared" si="6"/>
        <v>402300</v>
      </c>
      <c r="P78" s="50">
        <f t="shared" si="7"/>
        <v>312300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5756</v>
      </c>
      <c r="E83" s="98"/>
      <c r="F83" s="24"/>
      <c r="G83" s="16">
        <f t="shared" si="8"/>
        <v>5756</v>
      </c>
      <c r="H83" s="24"/>
      <c r="I83" s="95"/>
      <c r="J83" s="76">
        <f t="shared" si="5"/>
        <v>5756</v>
      </c>
      <c r="K83" s="81">
        <v>0</v>
      </c>
      <c r="L83" s="76">
        <f t="shared" si="2"/>
        <v>5756</v>
      </c>
      <c r="M83" s="85"/>
      <c r="N83" s="100">
        <v>64</v>
      </c>
      <c r="O83" s="50">
        <f t="shared" si="6"/>
        <v>368384</v>
      </c>
      <c r="P83" s="50">
        <f t="shared" si="7"/>
        <v>368384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18</v>
      </c>
      <c r="E84" s="89"/>
      <c r="F84" s="12"/>
      <c r="G84" s="45">
        <f t="shared" si="8"/>
        <v>18</v>
      </c>
      <c r="H84" s="12"/>
      <c r="I84" s="94"/>
      <c r="J84" s="82">
        <f t="shared" ref="J84:J97" si="9">D84+E84-H84-I84</f>
        <v>18</v>
      </c>
      <c r="K84" s="96">
        <v>0</v>
      </c>
      <c r="L84" s="82">
        <f t="shared" si="2"/>
        <v>18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/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212</v>
      </c>
      <c r="E86" s="90">
        <v>300</v>
      </c>
      <c r="F86" s="11"/>
      <c r="G86" s="16">
        <f t="shared" si="8"/>
        <v>512</v>
      </c>
      <c r="H86" s="88">
        <v>13</v>
      </c>
      <c r="I86" s="11"/>
      <c r="J86" s="76">
        <f t="shared" si="9"/>
        <v>499</v>
      </c>
      <c r="K86" s="97">
        <v>300</v>
      </c>
      <c r="L86" s="76">
        <f t="shared" si="2"/>
        <v>799</v>
      </c>
      <c r="M86" s="84"/>
      <c r="N86" s="99">
        <v>165</v>
      </c>
      <c r="O86" s="50">
        <f t="shared" si="6"/>
        <v>131835</v>
      </c>
      <c r="P86" s="50">
        <f t="shared" si="7"/>
        <v>82335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265</v>
      </c>
      <c r="E87" s="11"/>
      <c r="F87" s="11"/>
      <c r="G87" s="16">
        <f t="shared" si="8"/>
        <v>265</v>
      </c>
      <c r="H87" s="88"/>
      <c r="I87" s="11"/>
      <c r="J87" s="76">
        <f t="shared" si="9"/>
        <v>265</v>
      </c>
      <c r="K87" s="97">
        <v>-1</v>
      </c>
      <c r="L87" s="76">
        <f t="shared" si="2"/>
        <v>264</v>
      </c>
      <c r="M87" s="86"/>
      <c r="N87" s="99">
        <v>630</v>
      </c>
      <c r="O87" s="50">
        <f t="shared" si="6"/>
        <v>166320</v>
      </c>
      <c r="P87" s="50">
        <f t="shared" si="7"/>
        <v>166950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40</v>
      </c>
      <c r="E88" s="11"/>
      <c r="F88" s="11"/>
      <c r="G88" s="16">
        <f t="shared" si="8"/>
        <v>40</v>
      </c>
      <c r="H88" s="88">
        <v>3</v>
      </c>
      <c r="I88" s="11"/>
      <c r="J88" s="76">
        <f t="shared" si="9"/>
        <v>37</v>
      </c>
      <c r="K88" s="97">
        <v>0</v>
      </c>
      <c r="L88" s="76">
        <f t="shared" ref="L88:L97" si="10">J88+K88</f>
        <v>37</v>
      </c>
      <c r="M88" s="86"/>
      <c r="N88" s="99">
        <v>285</v>
      </c>
      <c r="O88" s="50">
        <f t="shared" si="6"/>
        <v>10545</v>
      </c>
      <c r="P88" s="50">
        <f t="shared" si="7"/>
        <v>10545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482</v>
      </c>
      <c r="E92" s="88"/>
      <c r="F92" s="11"/>
      <c r="G92" s="16">
        <f t="shared" si="8"/>
        <v>482</v>
      </c>
      <c r="H92" s="88">
        <v>8</v>
      </c>
      <c r="I92" s="11"/>
      <c r="J92" s="83">
        <f t="shared" si="9"/>
        <v>474</v>
      </c>
      <c r="K92" s="97">
        <v>0</v>
      </c>
      <c r="L92" s="76">
        <f t="shared" si="10"/>
        <v>474</v>
      </c>
      <c r="M92" s="86"/>
      <c r="N92" s="99">
        <v>113</v>
      </c>
      <c r="O92" s="50">
        <f t="shared" si="6"/>
        <v>53562</v>
      </c>
      <c r="P92" s="50">
        <f t="shared" si="7"/>
        <v>53562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281</v>
      </c>
      <c r="E94" s="88"/>
      <c r="F94" s="11"/>
      <c r="G94" s="16">
        <f t="shared" si="8"/>
        <v>281</v>
      </c>
      <c r="H94" s="88">
        <v>5</v>
      </c>
      <c r="I94" s="11"/>
      <c r="J94" s="83">
        <f t="shared" si="9"/>
        <v>276</v>
      </c>
      <c r="K94" s="97">
        <v>-50</v>
      </c>
      <c r="L94" s="76">
        <f t="shared" si="10"/>
        <v>226</v>
      </c>
      <c r="M94" s="86"/>
      <c r="N94" s="99">
        <v>950</v>
      </c>
      <c r="O94" s="50">
        <f t="shared" si="6"/>
        <v>214700</v>
      </c>
      <c r="P94" s="50">
        <f t="shared" si="7"/>
        <v>262200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1199804.2549999999</v>
      </c>
      <c r="E98" s="27">
        <f t="shared" ref="E98:L98" si="11">SUM(E6:E97)</f>
        <v>57510</v>
      </c>
      <c r="F98" s="27">
        <f t="shared" si="11"/>
        <v>156</v>
      </c>
      <c r="G98" s="27">
        <f t="shared" si="11"/>
        <v>1257158.2549999999</v>
      </c>
      <c r="H98" s="27">
        <f t="shared" si="11"/>
        <v>26427</v>
      </c>
      <c r="I98" s="27">
        <f t="shared" si="11"/>
        <v>0</v>
      </c>
      <c r="J98" s="27">
        <f t="shared" si="11"/>
        <v>1230731.2549999999</v>
      </c>
      <c r="K98" s="27">
        <f t="shared" si="11"/>
        <v>-577592</v>
      </c>
      <c r="L98" s="27">
        <f t="shared" si="11"/>
        <v>653139.25499999989</v>
      </c>
      <c r="M98" s="27">
        <f>SUM(M6:M96)</f>
        <v>0</v>
      </c>
      <c r="N98" s="51"/>
      <c r="O98" s="51">
        <f t="shared" ref="O98" si="12">SUM(O6:O97)</f>
        <v>27176607.910000004</v>
      </c>
      <c r="P98" s="51">
        <f>SUM(P6:P97)</f>
        <v>39449058.609999999</v>
      </c>
      <c r="Q98" s="57">
        <f>O98-P98</f>
        <v>-12272450.699999996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3" t="s">
        <v>115</v>
      </c>
      <c r="M100" s="113"/>
      <c r="O100" s="55" t="s">
        <v>110</v>
      </c>
      <c r="P100" s="54">
        <v>79909923</v>
      </c>
    </row>
    <row r="101" spans="1:22">
      <c r="P101" s="54">
        <f>P100-P98</f>
        <v>40460864.390000001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4" activePane="bottomLeft" state="frozen"/>
      <selection pane="bottomLeft" activeCell="Q88" sqref="Q88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148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13688</v>
      </c>
      <c r="E6" s="15">
        <v>14313</v>
      </c>
      <c r="F6" s="16"/>
      <c r="G6" s="15">
        <f>D6+E6-F6</f>
        <v>28001</v>
      </c>
      <c r="H6" s="15">
        <v>4372</v>
      </c>
      <c r="I6" s="16"/>
      <c r="J6" s="15">
        <f>G6-H6-I6</f>
        <v>23629</v>
      </c>
      <c r="K6" s="15">
        <v>8000</v>
      </c>
      <c r="L6" s="15">
        <f>J6+K6</f>
        <v>31629</v>
      </c>
      <c r="M6" s="30" t="s">
        <v>75</v>
      </c>
      <c r="N6" s="99">
        <v>21.5</v>
      </c>
      <c r="O6" s="50">
        <f>L6*N6</f>
        <v>680023.5</v>
      </c>
      <c r="P6" s="50">
        <f>J6*N6</f>
        <v>508023.5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77673</v>
      </c>
      <c r="E7" s="15"/>
      <c r="F7" s="15"/>
      <c r="G7" s="15">
        <f t="shared" ref="G7:G80" si="0">D7+E7-F7</f>
        <v>77673</v>
      </c>
      <c r="H7" s="15">
        <v>1598</v>
      </c>
      <c r="I7" s="15"/>
      <c r="J7" s="15">
        <f t="shared" ref="J7:J70" si="1">G7-H7-I7</f>
        <v>76075</v>
      </c>
      <c r="K7" s="15">
        <v>-5000</v>
      </c>
      <c r="L7" s="15">
        <f t="shared" ref="L7:L87" si="2">J7+K7</f>
        <v>71075</v>
      </c>
      <c r="M7" s="30" t="s">
        <v>75</v>
      </c>
      <c r="N7" s="99">
        <v>38</v>
      </c>
      <c r="O7" s="50">
        <f t="shared" ref="O7:O70" si="3">L7*N7</f>
        <v>2700850</v>
      </c>
      <c r="P7" s="50">
        <f t="shared" ref="P7:P70" si="4">J7*N7</f>
        <v>2890850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46601</v>
      </c>
      <c r="E8" s="15">
        <f>21893+20736</f>
        <v>42629</v>
      </c>
      <c r="F8" s="15"/>
      <c r="G8" s="15">
        <f t="shared" si="0"/>
        <v>89230</v>
      </c>
      <c r="H8" s="15"/>
      <c r="I8" s="15"/>
      <c r="J8" s="15">
        <f t="shared" si="1"/>
        <v>89230</v>
      </c>
      <c r="K8" s="15">
        <v>0</v>
      </c>
      <c r="L8" s="15">
        <f t="shared" si="2"/>
        <v>89230</v>
      </c>
      <c r="M8" s="30" t="s">
        <v>75</v>
      </c>
      <c r="N8" s="99">
        <v>12</v>
      </c>
      <c r="O8" s="50">
        <f t="shared" si="3"/>
        <v>1070760</v>
      </c>
      <c r="P8" s="50">
        <f t="shared" si="4"/>
        <v>1070760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651537</v>
      </c>
      <c r="E10" s="15">
        <f>17456+17056+18215+17863+17915+17903+17665</f>
        <v>124073</v>
      </c>
      <c r="F10" s="15"/>
      <c r="G10" s="15">
        <f t="shared" si="0"/>
        <v>775610</v>
      </c>
      <c r="H10" s="15">
        <v>143</v>
      </c>
      <c r="I10" s="15"/>
      <c r="J10" s="15">
        <f t="shared" si="1"/>
        <v>775467</v>
      </c>
      <c r="K10" s="15">
        <v>-607000</v>
      </c>
      <c r="L10" s="15">
        <f t="shared" si="2"/>
        <v>168467</v>
      </c>
      <c r="M10" s="30"/>
      <c r="N10" s="99">
        <v>23.09</v>
      </c>
      <c r="O10" s="50">
        <f t="shared" si="3"/>
        <v>3889903.03</v>
      </c>
      <c r="P10" s="50">
        <f t="shared" si="4"/>
        <v>17905533.030000001</v>
      </c>
      <c r="Q10" s="43">
        <f>O10-P10</f>
        <v>-14015630.000000002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2865</v>
      </c>
      <c r="E11" s="15"/>
      <c r="F11" s="15"/>
      <c r="G11" s="15">
        <f t="shared" si="0"/>
        <v>2865</v>
      </c>
      <c r="H11" s="15"/>
      <c r="I11" s="15"/>
      <c r="J11" s="15">
        <f t="shared" si="1"/>
        <v>2865</v>
      </c>
      <c r="K11" s="15">
        <v>2000</v>
      </c>
      <c r="L11" s="15">
        <f t="shared" si="2"/>
        <v>4865</v>
      </c>
      <c r="M11" s="30" t="s">
        <v>75</v>
      </c>
      <c r="N11" s="99">
        <v>16.5</v>
      </c>
      <c r="O11" s="50">
        <f t="shared" si="3"/>
        <v>80272.5</v>
      </c>
      <c r="P11" s="50">
        <f t="shared" si="4"/>
        <v>47272.5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-2577</v>
      </c>
      <c r="E13" s="15">
        <v>13258</v>
      </c>
      <c r="F13" s="15"/>
      <c r="G13" s="15">
        <f t="shared" si="0"/>
        <v>10681</v>
      </c>
      <c r="H13" s="15">
        <v>110</v>
      </c>
      <c r="I13" s="15"/>
      <c r="J13" s="15">
        <f t="shared" si="1"/>
        <v>10571</v>
      </c>
      <c r="K13" s="15">
        <v>5000</v>
      </c>
      <c r="L13" s="15">
        <f t="shared" si="2"/>
        <v>15571</v>
      </c>
      <c r="M13" s="30" t="s">
        <v>75</v>
      </c>
      <c r="N13" s="99">
        <v>27.5</v>
      </c>
      <c r="O13" s="50">
        <f t="shared" si="3"/>
        <v>428202.5</v>
      </c>
      <c r="P13" s="50">
        <f t="shared" si="4"/>
        <v>290702.5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12328</v>
      </c>
      <c r="E14" s="15"/>
      <c r="F14" s="15"/>
      <c r="G14" s="15">
        <f t="shared" si="0"/>
        <v>12328</v>
      </c>
      <c r="H14" s="15"/>
      <c r="I14" s="16"/>
      <c r="J14" s="15">
        <f t="shared" si="1"/>
        <v>12328</v>
      </c>
      <c r="K14" s="15">
        <v>-1000</v>
      </c>
      <c r="L14" s="15">
        <f t="shared" si="2"/>
        <v>11328</v>
      </c>
      <c r="M14" s="30"/>
      <c r="N14" s="99">
        <v>59</v>
      </c>
      <c r="O14" s="50">
        <f t="shared" si="3"/>
        <v>668352</v>
      </c>
      <c r="P14" s="50">
        <f t="shared" si="4"/>
        <v>727352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23211</v>
      </c>
      <c r="E16" s="29"/>
      <c r="F16" s="15"/>
      <c r="G16" s="15">
        <f t="shared" si="0"/>
        <v>23211</v>
      </c>
      <c r="H16" s="15">
        <v>242</v>
      </c>
      <c r="I16" s="16"/>
      <c r="J16" s="15">
        <f t="shared" si="1"/>
        <v>22969</v>
      </c>
      <c r="K16" s="15">
        <v>0</v>
      </c>
      <c r="L16" s="15">
        <f>J16+K16</f>
        <v>22969</v>
      </c>
      <c r="M16" s="30"/>
      <c r="N16" s="99">
        <v>43.25</v>
      </c>
      <c r="O16" s="50">
        <f t="shared" si="3"/>
        <v>993409.25</v>
      </c>
      <c r="P16" s="50">
        <f t="shared" si="4"/>
        <v>993409.25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9218</v>
      </c>
      <c r="E19" s="15"/>
      <c r="F19" s="15"/>
      <c r="G19" s="15">
        <f t="shared" si="0"/>
        <v>9218</v>
      </c>
      <c r="H19" s="15">
        <v>55</v>
      </c>
      <c r="I19" s="16"/>
      <c r="J19" s="15">
        <f t="shared" si="1"/>
        <v>9163</v>
      </c>
      <c r="K19" s="15">
        <v>1000</v>
      </c>
      <c r="L19" s="15">
        <f t="shared" si="2"/>
        <v>10163</v>
      </c>
      <c r="M19" s="30"/>
      <c r="N19" s="99">
        <v>22.8</v>
      </c>
      <c r="O19" s="50">
        <f t="shared" si="3"/>
        <v>231716.4</v>
      </c>
      <c r="P19" s="50">
        <f t="shared" si="4"/>
        <v>208916.4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6445</v>
      </c>
      <c r="E20" s="15"/>
      <c r="F20" s="15"/>
      <c r="G20" s="15">
        <f t="shared" si="0"/>
        <v>6445</v>
      </c>
      <c r="H20" s="15"/>
      <c r="I20" s="16"/>
      <c r="J20" s="15">
        <f t="shared" si="1"/>
        <v>6445</v>
      </c>
      <c r="K20" s="15">
        <v>0</v>
      </c>
      <c r="L20" s="15">
        <f t="shared" si="2"/>
        <v>6445</v>
      </c>
      <c r="M20" s="30" t="s">
        <v>75</v>
      </c>
      <c r="N20" s="99">
        <v>20</v>
      </c>
      <c r="O20" s="50">
        <f t="shared" si="3"/>
        <v>128900</v>
      </c>
      <c r="P20" s="50">
        <f t="shared" si="4"/>
        <v>128900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4718</v>
      </c>
      <c r="E21" s="15"/>
      <c r="F21" s="15"/>
      <c r="G21" s="15">
        <f t="shared" si="0"/>
        <v>4718</v>
      </c>
      <c r="H21" s="15">
        <v>22</v>
      </c>
      <c r="I21" s="16"/>
      <c r="J21" s="15">
        <f t="shared" si="1"/>
        <v>4696</v>
      </c>
      <c r="K21" s="15">
        <v>0</v>
      </c>
      <c r="L21" s="15">
        <f t="shared" si="2"/>
        <v>4696</v>
      </c>
      <c r="M21" s="30"/>
      <c r="N21" s="99">
        <v>8.5</v>
      </c>
      <c r="O21" s="50">
        <f t="shared" si="3"/>
        <v>39916</v>
      </c>
      <c r="P21" s="50">
        <f t="shared" si="4"/>
        <v>39916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238570</v>
      </c>
      <c r="E22" s="15"/>
      <c r="F22" s="15"/>
      <c r="G22" s="15">
        <f t="shared" si="0"/>
        <v>238570</v>
      </c>
      <c r="H22" s="15">
        <v>700</v>
      </c>
      <c r="I22" s="16"/>
      <c r="J22" s="15">
        <f t="shared" si="1"/>
        <v>237870</v>
      </c>
      <c r="K22" s="15">
        <v>8000</v>
      </c>
      <c r="L22" s="15">
        <f t="shared" si="2"/>
        <v>245870</v>
      </c>
      <c r="M22" s="30"/>
      <c r="N22" s="99">
        <v>8.5</v>
      </c>
      <c r="O22" s="50">
        <f t="shared" si="3"/>
        <v>2089895</v>
      </c>
      <c r="P22" s="50">
        <f t="shared" si="4"/>
        <v>2021895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9079</v>
      </c>
      <c r="E23" s="15"/>
      <c r="F23" s="15"/>
      <c r="G23" s="15">
        <f t="shared" si="0"/>
        <v>9079</v>
      </c>
      <c r="H23" s="15">
        <v>84</v>
      </c>
      <c r="I23" s="16"/>
      <c r="J23" s="15">
        <f t="shared" si="1"/>
        <v>8995</v>
      </c>
      <c r="K23" s="15">
        <v>1500</v>
      </c>
      <c r="L23" s="15">
        <f t="shared" si="2"/>
        <v>10495</v>
      </c>
      <c r="M23" s="30" t="s">
        <v>75</v>
      </c>
      <c r="N23" s="99">
        <v>82</v>
      </c>
      <c r="O23" s="50">
        <f t="shared" si="3"/>
        <v>860590</v>
      </c>
      <c r="P23" s="50">
        <f t="shared" si="4"/>
        <v>737590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12038</v>
      </c>
      <c r="E24" s="29"/>
      <c r="F24" s="29"/>
      <c r="G24" s="15">
        <f t="shared" si="0"/>
        <v>12038</v>
      </c>
      <c r="H24" s="15"/>
      <c r="I24" s="16"/>
      <c r="J24" s="15">
        <f t="shared" si="1"/>
        <v>12038</v>
      </c>
      <c r="K24" s="15">
        <v>2713</v>
      </c>
      <c r="L24" s="15">
        <f t="shared" si="2"/>
        <v>14751</v>
      </c>
      <c r="M24" s="30"/>
      <c r="N24" s="99">
        <v>22.1</v>
      </c>
      <c r="O24" s="50">
        <f t="shared" si="3"/>
        <v>325997.10000000003</v>
      </c>
      <c r="P24" s="50">
        <f t="shared" si="4"/>
        <v>266039.8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2632</v>
      </c>
      <c r="E26" s="15"/>
      <c r="F26" s="15"/>
      <c r="G26" s="15">
        <f t="shared" si="0"/>
        <v>2632</v>
      </c>
      <c r="H26" s="15">
        <v>210</v>
      </c>
      <c r="I26" s="16"/>
      <c r="J26" s="76">
        <f t="shared" si="1"/>
        <v>2422</v>
      </c>
      <c r="K26" s="76">
        <v>0</v>
      </c>
      <c r="L26" s="76">
        <f t="shared" si="2"/>
        <v>2422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15028</v>
      </c>
      <c r="E32" s="15"/>
      <c r="F32" s="15"/>
      <c r="G32" s="15">
        <f t="shared" si="0"/>
        <v>15028</v>
      </c>
      <c r="H32" s="15">
        <v>378</v>
      </c>
      <c r="I32" s="16"/>
      <c r="J32" s="76">
        <f t="shared" si="1"/>
        <v>14650</v>
      </c>
      <c r="K32" s="76"/>
      <c r="L32" s="76">
        <f t="shared" si="2"/>
        <v>14650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15038</v>
      </c>
      <c r="E33" s="15"/>
      <c r="F33" s="15"/>
      <c r="G33" s="15">
        <f t="shared" si="0"/>
        <v>15038</v>
      </c>
      <c r="H33" s="15">
        <v>25</v>
      </c>
      <c r="I33" s="16"/>
      <c r="J33" s="76">
        <f t="shared" si="1"/>
        <v>15013</v>
      </c>
      <c r="K33" s="76">
        <v>206</v>
      </c>
      <c r="L33" s="76">
        <f t="shared" si="2"/>
        <v>15219</v>
      </c>
      <c r="M33" s="30"/>
      <c r="N33" s="99">
        <v>12.49</v>
      </c>
      <c r="O33" s="50">
        <f t="shared" si="3"/>
        <v>190085.31</v>
      </c>
      <c r="P33" s="50">
        <f t="shared" si="4"/>
        <v>187512.37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194</v>
      </c>
      <c r="E34" s="15"/>
      <c r="F34" s="15"/>
      <c r="G34" s="15">
        <f t="shared" si="0"/>
        <v>194</v>
      </c>
      <c r="H34" s="15"/>
      <c r="I34" s="16"/>
      <c r="J34" s="76">
        <f t="shared" si="1"/>
        <v>194</v>
      </c>
      <c r="K34" s="76">
        <v>-50</v>
      </c>
      <c r="L34" s="76">
        <f t="shared" si="2"/>
        <v>144</v>
      </c>
      <c r="M34" s="77"/>
      <c r="N34" s="99">
        <v>435</v>
      </c>
      <c r="O34" s="50">
        <f t="shared" si="3"/>
        <v>62640</v>
      </c>
      <c r="P34" s="50">
        <f t="shared" si="4"/>
        <v>84390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135</v>
      </c>
      <c r="E35" s="15"/>
      <c r="F35" s="15"/>
      <c r="G35" s="15">
        <f t="shared" si="0"/>
        <v>135</v>
      </c>
      <c r="H35" s="15"/>
      <c r="I35" s="16"/>
      <c r="J35" s="76">
        <f>G35-H35-I35</f>
        <v>135</v>
      </c>
      <c r="K35" s="76">
        <v>-50</v>
      </c>
      <c r="L35" s="76">
        <f t="shared" si="2"/>
        <v>85</v>
      </c>
      <c r="M35" s="84"/>
      <c r="N35" s="99">
        <v>730</v>
      </c>
      <c r="O35" s="50">
        <f t="shared" si="3"/>
        <v>62050</v>
      </c>
      <c r="P35" s="50">
        <f t="shared" si="4"/>
        <v>98550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347</v>
      </c>
      <c r="E36" s="15"/>
      <c r="F36" s="15"/>
      <c r="G36" s="15">
        <f t="shared" si="0"/>
        <v>347</v>
      </c>
      <c r="H36" s="16">
        <v>1</v>
      </c>
      <c r="I36" s="16"/>
      <c r="J36" s="76">
        <f t="shared" si="1"/>
        <v>346</v>
      </c>
      <c r="K36" s="76">
        <v>-125</v>
      </c>
      <c r="L36" s="76">
        <f t="shared" si="2"/>
        <v>221</v>
      </c>
      <c r="M36" s="84"/>
      <c r="N36" s="99">
        <v>155</v>
      </c>
      <c r="O36" s="50">
        <f t="shared" si="3"/>
        <v>34255</v>
      </c>
      <c r="P36" s="50">
        <f t="shared" si="4"/>
        <v>53630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1527</v>
      </c>
      <c r="E37" s="15"/>
      <c r="F37" s="15"/>
      <c r="G37" s="15">
        <f t="shared" si="0"/>
        <v>1527</v>
      </c>
      <c r="H37" s="16">
        <v>6</v>
      </c>
      <c r="I37" s="16"/>
      <c r="J37" s="76">
        <f t="shared" si="1"/>
        <v>1521</v>
      </c>
      <c r="K37" s="76">
        <v>0</v>
      </c>
      <c r="L37" s="76">
        <f t="shared" si="2"/>
        <v>1521</v>
      </c>
      <c r="M37" s="84"/>
      <c r="N37" s="99">
        <v>125</v>
      </c>
      <c r="O37" s="50">
        <f t="shared" si="3"/>
        <v>190125</v>
      </c>
      <c r="P37" s="50">
        <f t="shared" si="4"/>
        <v>190125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205</v>
      </c>
      <c r="E39" s="15"/>
      <c r="F39" s="15"/>
      <c r="G39" s="15">
        <f t="shared" si="0"/>
        <v>205</v>
      </c>
      <c r="H39" s="16"/>
      <c r="I39" s="16"/>
      <c r="J39" s="76">
        <f t="shared" si="1"/>
        <v>205</v>
      </c>
      <c r="K39" s="76">
        <v>-70</v>
      </c>
      <c r="L39" s="76">
        <f t="shared" si="2"/>
        <v>135</v>
      </c>
      <c r="M39" s="84"/>
      <c r="N39" s="99">
        <v>975</v>
      </c>
      <c r="O39" s="50">
        <f t="shared" si="3"/>
        <v>131625</v>
      </c>
      <c r="P39" s="50">
        <f t="shared" si="4"/>
        <v>199875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219</v>
      </c>
      <c r="E41" s="15">
        <v>500</v>
      </c>
      <c r="F41" s="15"/>
      <c r="G41" s="15">
        <f t="shared" si="0"/>
        <v>719</v>
      </c>
      <c r="H41" s="16"/>
      <c r="I41" s="16"/>
      <c r="J41" s="76">
        <f t="shared" si="1"/>
        <v>719</v>
      </c>
      <c r="K41" s="76">
        <v>500</v>
      </c>
      <c r="L41" s="76">
        <f t="shared" si="2"/>
        <v>1219</v>
      </c>
      <c r="M41" s="84"/>
      <c r="N41" s="99">
        <v>125</v>
      </c>
      <c r="O41" s="50">
        <f t="shared" si="3"/>
        <v>152375</v>
      </c>
      <c r="P41" s="50">
        <f t="shared" si="4"/>
        <v>89875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16293</v>
      </c>
      <c r="E46" s="15"/>
      <c r="F46" s="15"/>
      <c r="G46" s="15">
        <f t="shared" si="0"/>
        <v>16293</v>
      </c>
      <c r="H46" s="16">
        <v>15</v>
      </c>
      <c r="I46" s="16"/>
      <c r="J46" s="76">
        <f t="shared" si="1"/>
        <v>16278</v>
      </c>
      <c r="K46" s="76">
        <v>-180</v>
      </c>
      <c r="L46" s="76">
        <f t="shared" si="2"/>
        <v>16098</v>
      </c>
      <c r="M46" s="84"/>
      <c r="N46" s="99">
        <v>275</v>
      </c>
      <c r="O46" s="50">
        <f t="shared" si="3"/>
        <v>4426950</v>
      </c>
      <c r="P46" s="50">
        <f t="shared" si="4"/>
        <v>4476450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-45</v>
      </c>
      <c r="E49" s="15"/>
      <c r="F49" s="15"/>
      <c r="G49" s="15">
        <f t="shared" si="0"/>
        <v>-45</v>
      </c>
      <c r="H49" s="15">
        <v>2</v>
      </c>
      <c r="I49" s="16"/>
      <c r="J49" s="76">
        <f t="shared" si="1"/>
        <v>-47</v>
      </c>
      <c r="K49" s="76">
        <v>45</v>
      </c>
      <c r="L49" s="76">
        <f t="shared" si="2"/>
        <v>-2</v>
      </c>
      <c r="M49" s="84"/>
      <c r="N49" s="99">
        <v>800</v>
      </c>
      <c r="O49" s="50">
        <f t="shared" si="3"/>
        <v>-1600</v>
      </c>
      <c r="P49" s="50">
        <f t="shared" si="4"/>
        <v>-37600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85</v>
      </c>
      <c r="E53" s="15"/>
      <c r="F53" s="15"/>
      <c r="G53" s="15">
        <f t="shared" si="0"/>
        <v>85</v>
      </c>
      <c r="H53" s="15"/>
      <c r="I53" s="20"/>
      <c r="J53" s="76">
        <f t="shared" si="1"/>
        <v>85</v>
      </c>
      <c r="K53" s="76">
        <v>0</v>
      </c>
      <c r="L53" s="76">
        <f t="shared" si="2"/>
        <v>85</v>
      </c>
      <c r="M53" s="84"/>
      <c r="N53" s="99">
        <v>1600</v>
      </c>
      <c r="O53" s="50">
        <f t="shared" si="3"/>
        <v>136000</v>
      </c>
      <c r="P53" s="50">
        <f t="shared" si="4"/>
        <v>136000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750</v>
      </c>
      <c r="E54" s="15"/>
      <c r="F54" s="15"/>
      <c r="G54" s="15">
        <f t="shared" si="0"/>
        <v>750</v>
      </c>
      <c r="H54" s="15"/>
      <c r="I54" s="16"/>
      <c r="J54" s="76">
        <f t="shared" si="1"/>
        <v>750</v>
      </c>
      <c r="K54" s="76">
        <v>-350</v>
      </c>
      <c r="L54" s="76">
        <f t="shared" si="2"/>
        <v>400</v>
      </c>
      <c r="M54" s="84"/>
      <c r="N54" s="99">
        <v>375</v>
      </c>
      <c r="O54" s="50">
        <f t="shared" si="3"/>
        <v>150000</v>
      </c>
      <c r="P54" s="50">
        <f t="shared" si="4"/>
        <v>281250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132</v>
      </c>
      <c r="E55" s="15"/>
      <c r="F55" s="15"/>
      <c r="G55" s="15">
        <f t="shared" si="0"/>
        <v>132</v>
      </c>
      <c r="H55" s="15"/>
      <c r="I55" s="21"/>
      <c r="J55" s="76">
        <f t="shared" si="1"/>
        <v>132</v>
      </c>
      <c r="K55" s="76">
        <v>9</v>
      </c>
      <c r="L55" s="76">
        <f t="shared" si="2"/>
        <v>141</v>
      </c>
      <c r="M55" s="30"/>
      <c r="N55" s="99">
        <v>425</v>
      </c>
      <c r="O55" s="50">
        <f t="shared" si="3"/>
        <v>59925</v>
      </c>
      <c r="P55" s="50">
        <f t="shared" si="4"/>
        <v>56100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330</v>
      </c>
      <c r="E56" s="15"/>
      <c r="F56" s="15"/>
      <c r="G56" s="15">
        <f t="shared" si="0"/>
        <v>330</v>
      </c>
      <c r="H56" s="15">
        <v>2</v>
      </c>
      <c r="I56" s="22"/>
      <c r="J56" s="76">
        <f t="shared" si="1"/>
        <v>328</v>
      </c>
      <c r="K56" s="76">
        <v>-200</v>
      </c>
      <c r="L56" s="76">
        <f t="shared" si="2"/>
        <v>128</v>
      </c>
      <c r="M56" s="84"/>
      <c r="N56" s="99">
        <v>390</v>
      </c>
      <c r="O56" s="50">
        <f t="shared" si="3"/>
        <v>49920</v>
      </c>
      <c r="P56" s="50">
        <f t="shared" si="4"/>
        <v>127920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-2</v>
      </c>
      <c r="E58" s="15"/>
      <c r="F58" s="15"/>
      <c r="G58" s="15">
        <f t="shared" si="0"/>
        <v>-2</v>
      </c>
      <c r="H58" s="15">
        <v>1</v>
      </c>
      <c r="I58" s="16"/>
      <c r="J58" s="76">
        <f t="shared" si="1"/>
        <v>-3</v>
      </c>
      <c r="K58" s="76">
        <v>0</v>
      </c>
      <c r="L58" s="76">
        <f t="shared" si="2"/>
        <v>-3</v>
      </c>
      <c r="M58" s="30"/>
      <c r="N58" s="99">
        <v>132</v>
      </c>
      <c r="O58" s="50">
        <f t="shared" si="3"/>
        <v>-396</v>
      </c>
      <c r="P58" s="50">
        <f t="shared" si="4"/>
        <v>-396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234</v>
      </c>
      <c r="E59" s="15"/>
      <c r="F59" s="15"/>
      <c r="G59" s="15">
        <f t="shared" si="0"/>
        <v>234</v>
      </c>
      <c r="H59" s="15">
        <v>4</v>
      </c>
      <c r="I59" s="16"/>
      <c r="J59" s="76">
        <f t="shared" si="1"/>
        <v>230</v>
      </c>
      <c r="K59" s="76">
        <v>0</v>
      </c>
      <c r="L59" s="76">
        <f t="shared" si="2"/>
        <v>230</v>
      </c>
      <c r="M59" s="84"/>
      <c r="N59" s="99">
        <v>570</v>
      </c>
      <c r="O59" s="50">
        <f t="shared" si="3"/>
        <v>131100</v>
      </c>
      <c r="P59" s="50">
        <f t="shared" si="4"/>
        <v>131100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5808</v>
      </c>
      <c r="E62" s="15"/>
      <c r="F62" s="15"/>
      <c r="G62" s="15">
        <f t="shared" si="0"/>
        <v>5808</v>
      </c>
      <c r="H62" s="15">
        <v>6</v>
      </c>
      <c r="I62" s="16"/>
      <c r="J62" s="76">
        <f t="shared" si="1"/>
        <v>5802</v>
      </c>
      <c r="K62" s="76">
        <v>187</v>
      </c>
      <c r="L62" s="76">
        <f t="shared" si="2"/>
        <v>5989</v>
      </c>
      <c r="M62" s="30"/>
      <c r="N62" s="99">
        <v>87.38</v>
      </c>
      <c r="O62" s="50">
        <f t="shared" si="3"/>
        <v>523318.81999999995</v>
      </c>
      <c r="P62" s="50">
        <f t="shared" si="4"/>
        <v>506978.75999999995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15</v>
      </c>
      <c r="E63" s="15"/>
      <c r="F63" s="15"/>
      <c r="G63" s="15">
        <f t="shared" si="0"/>
        <v>15</v>
      </c>
      <c r="H63" s="15"/>
      <c r="I63" s="16"/>
      <c r="J63" s="76">
        <f t="shared" si="1"/>
        <v>15</v>
      </c>
      <c r="K63" s="76">
        <v>300</v>
      </c>
      <c r="L63" s="76">
        <f t="shared" si="2"/>
        <v>315</v>
      </c>
      <c r="M63" s="84"/>
      <c r="N63" s="99">
        <v>290</v>
      </c>
      <c r="O63" s="50">
        <f t="shared" si="3"/>
        <v>91350</v>
      </c>
      <c r="P63" s="50">
        <f t="shared" si="4"/>
        <v>4350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210</v>
      </c>
      <c r="E64" s="23"/>
      <c r="F64" s="23"/>
      <c r="G64" s="23">
        <f t="shared" si="0"/>
        <v>210</v>
      </c>
      <c r="H64" s="23">
        <v>1</v>
      </c>
      <c r="I64" s="23"/>
      <c r="J64" s="76">
        <f t="shared" si="1"/>
        <v>209</v>
      </c>
      <c r="K64" s="79">
        <v>100</v>
      </c>
      <c r="L64" s="76">
        <f t="shared" si="2"/>
        <v>309</v>
      </c>
      <c r="M64" s="30"/>
      <c r="N64" s="99">
        <v>70</v>
      </c>
      <c r="O64" s="50">
        <f t="shared" si="3"/>
        <v>21630</v>
      </c>
      <c r="P64" s="50">
        <f t="shared" si="4"/>
        <v>14630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200</v>
      </c>
      <c r="E65" s="24"/>
      <c r="F65" s="24"/>
      <c r="G65" s="16">
        <f t="shared" si="0"/>
        <v>200</v>
      </c>
      <c r="H65" s="24">
        <v>14</v>
      </c>
      <c r="I65" s="24"/>
      <c r="J65" s="76">
        <f t="shared" si="1"/>
        <v>186</v>
      </c>
      <c r="K65" s="80">
        <v>-200</v>
      </c>
      <c r="L65" s="76">
        <f t="shared" si="2"/>
        <v>-14</v>
      </c>
      <c r="M65" s="86"/>
      <c r="N65" s="99">
        <v>240</v>
      </c>
      <c r="O65" s="50">
        <f t="shared" si="3"/>
        <v>-3360</v>
      </c>
      <c r="P65" s="50">
        <f t="shared" si="4"/>
        <v>44640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345</v>
      </c>
      <c r="E66" s="24"/>
      <c r="F66" s="24"/>
      <c r="G66" s="16">
        <f t="shared" si="0"/>
        <v>345</v>
      </c>
      <c r="H66" s="24"/>
      <c r="I66" s="24"/>
      <c r="J66" s="76">
        <f t="shared" si="1"/>
        <v>345</v>
      </c>
      <c r="K66" s="81">
        <v>0</v>
      </c>
      <c r="L66" s="81">
        <f t="shared" si="2"/>
        <v>345</v>
      </c>
      <c r="M66" s="86"/>
      <c r="N66" s="99">
        <v>1100</v>
      </c>
      <c r="O66" s="50">
        <f t="shared" si="3"/>
        <v>379500</v>
      </c>
      <c r="P66" s="50">
        <f t="shared" si="4"/>
        <v>379500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-1041</v>
      </c>
      <c r="E67" s="24"/>
      <c r="F67" s="24"/>
      <c r="G67" s="16">
        <f t="shared" si="0"/>
        <v>-1041</v>
      </c>
      <c r="H67" s="24">
        <v>82</v>
      </c>
      <c r="I67" s="24"/>
      <c r="J67" s="76">
        <f t="shared" si="1"/>
        <v>-1123</v>
      </c>
      <c r="K67" s="80">
        <v>1000</v>
      </c>
      <c r="L67" s="76">
        <f t="shared" si="2"/>
        <v>-123</v>
      </c>
      <c r="M67" s="84"/>
      <c r="N67" s="99">
        <v>53</v>
      </c>
      <c r="O67" s="50">
        <f t="shared" si="3"/>
        <v>-6519</v>
      </c>
      <c r="P67" s="50">
        <f t="shared" si="4"/>
        <v>-59519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444</v>
      </c>
      <c r="E70" s="24"/>
      <c r="F70" s="24"/>
      <c r="G70" s="16">
        <f t="shared" si="0"/>
        <v>444</v>
      </c>
      <c r="H70" s="24"/>
      <c r="I70" s="24"/>
      <c r="J70" s="76">
        <f t="shared" si="1"/>
        <v>444</v>
      </c>
      <c r="K70" s="80">
        <v>-153</v>
      </c>
      <c r="L70" s="76">
        <f t="shared" si="2"/>
        <v>291</v>
      </c>
      <c r="M70" s="86"/>
      <c r="N70" s="99">
        <v>260</v>
      </c>
      <c r="O70" s="50">
        <f t="shared" si="3"/>
        <v>75660</v>
      </c>
      <c r="P70" s="50">
        <f t="shared" si="4"/>
        <v>115440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3727</v>
      </c>
      <c r="E72" s="24"/>
      <c r="F72" s="24"/>
      <c r="G72" s="16">
        <f t="shared" si="0"/>
        <v>3727</v>
      </c>
      <c r="H72" s="24">
        <v>9</v>
      </c>
      <c r="I72" s="24"/>
      <c r="J72" s="76">
        <f t="shared" si="5"/>
        <v>3718</v>
      </c>
      <c r="K72" s="80">
        <v>-200</v>
      </c>
      <c r="L72" s="76">
        <f t="shared" si="2"/>
        <v>3518</v>
      </c>
      <c r="M72" s="30"/>
      <c r="N72" s="99">
        <v>39</v>
      </c>
      <c r="O72" s="50">
        <f t="shared" si="6"/>
        <v>137202</v>
      </c>
      <c r="P72" s="50">
        <f t="shared" si="7"/>
        <v>145002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18891</v>
      </c>
      <c r="E73" s="24"/>
      <c r="F73" s="24"/>
      <c r="G73" s="16">
        <f t="shared" si="0"/>
        <v>18891</v>
      </c>
      <c r="H73" s="24">
        <v>14</v>
      </c>
      <c r="I73" s="42"/>
      <c r="J73" s="76">
        <f t="shared" si="5"/>
        <v>18877</v>
      </c>
      <c r="K73" s="80">
        <v>0</v>
      </c>
      <c r="L73" s="76">
        <f t="shared" si="2"/>
        <v>18877</v>
      </c>
      <c r="M73" s="84"/>
      <c r="N73" s="99">
        <v>83</v>
      </c>
      <c r="O73" s="50">
        <f t="shared" si="6"/>
        <v>1566791</v>
      </c>
      <c r="P73" s="50">
        <f t="shared" si="7"/>
        <v>1566791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2154</v>
      </c>
      <c r="E75" s="24"/>
      <c r="F75" s="24"/>
      <c r="G75" s="16">
        <f t="shared" si="0"/>
        <v>2154</v>
      </c>
      <c r="H75" s="24">
        <v>12</v>
      </c>
      <c r="I75" s="24"/>
      <c r="J75" s="76">
        <f t="shared" si="5"/>
        <v>2142</v>
      </c>
      <c r="K75" s="80">
        <v>273</v>
      </c>
      <c r="L75" s="76">
        <f t="shared" si="2"/>
        <v>2415</v>
      </c>
      <c r="M75" s="86"/>
      <c r="N75" s="99">
        <v>16</v>
      </c>
      <c r="O75" s="50">
        <f t="shared" si="6"/>
        <v>38640</v>
      </c>
      <c r="P75" s="50">
        <f t="shared" si="7"/>
        <v>34272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378</v>
      </c>
      <c r="E76" s="24"/>
      <c r="F76" s="24"/>
      <c r="G76" s="16">
        <f t="shared" si="0"/>
        <v>378</v>
      </c>
      <c r="H76" s="24">
        <v>3</v>
      </c>
      <c r="I76" s="24"/>
      <c r="J76" s="76">
        <f t="shared" si="5"/>
        <v>375</v>
      </c>
      <c r="K76" s="80">
        <v>-250</v>
      </c>
      <c r="L76" s="76">
        <f t="shared" si="2"/>
        <v>125</v>
      </c>
      <c r="M76" s="30"/>
      <c r="N76" s="99">
        <v>400</v>
      </c>
      <c r="O76" s="50">
        <f t="shared" si="6"/>
        <v>50000</v>
      </c>
      <c r="P76" s="50">
        <f t="shared" si="7"/>
        <v>150000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347</v>
      </c>
      <c r="E78" s="24"/>
      <c r="F78" s="24"/>
      <c r="G78" s="16">
        <f t="shared" si="0"/>
        <v>347</v>
      </c>
      <c r="H78" s="24">
        <v>1</v>
      </c>
      <c r="I78" s="24"/>
      <c r="J78" s="76">
        <f t="shared" si="5"/>
        <v>346</v>
      </c>
      <c r="K78" s="80">
        <v>100</v>
      </c>
      <c r="L78" s="76">
        <f t="shared" si="2"/>
        <v>446</v>
      </c>
      <c r="M78" s="86"/>
      <c r="N78" s="99">
        <v>900</v>
      </c>
      <c r="O78" s="50">
        <f t="shared" si="6"/>
        <v>401400</v>
      </c>
      <c r="P78" s="50">
        <f t="shared" si="7"/>
        <v>311400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5756</v>
      </c>
      <c r="E83" s="98"/>
      <c r="F83" s="24"/>
      <c r="G83" s="16">
        <f t="shared" si="8"/>
        <v>5756</v>
      </c>
      <c r="H83" s="24"/>
      <c r="I83" s="95">
        <f>5756-5179</f>
        <v>577</v>
      </c>
      <c r="J83" s="76">
        <f t="shared" si="5"/>
        <v>5179</v>
      </c>
      <c r="K83" s="81">
        <v>0</v>
      </c>
      <c r="L83" s="76">
        <f t="shared" si="2"/>
        <v>5179</v>
      </c>
      <c r="M83" s="85"/>
      <c r="N83" s="100">
        <v>64</v>
      </c>
      <c r="O83" s="50">
        <f t="shared" si="6"/>
        <v>331456</v>
      </c>
      <c r="P83" s="50">
        <f t="shared" si="7"/>
        <v>331456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18</v>
      </c>
      <c r="E84" s="89"/>
      <c r="F84" s="12"/>
      <c r="G84" s="45">
        <f t="shared" si="8"/>
        <v>18</v>
      </c>
      <c r="H84" s="12"/>
      <c r="I84" s="94"/>
      <c r="J84" s="82">
        <f t="shared" ref="J84:J97" si="9">D84+E84-H84-I84</f>
        <v>18</v>
      </c>
      <c r="K84" s="96">
        <v>0</v>
      </c>
      <c r="L84" s="82">
        <f t="shared" si="2"/>
        <v>18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/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499</v>
      </c>
      <c r="E86" s="90"/>
      <c r="F86" s="11"/>
      <c r="G86" s="16">
        <f t="shared" si="8"/>
        <v>499</v>
      </c>
      <c r="H86" s="88">
        <v>7</v>
      </c>
      <c r="I86" s="11"/>
      <c r="J86" s="76">
        <f t="shared" si="9"/>
        <v>492</v>
      </c>
      <c r="K86" s="97">
        <v>300</v>
      </c>
      <c r="L86" s="76">
        <f t="shared" si="2"/>
        <v>792</v>
      </c>
      <c r="M86" s="84"/>
      <c r="N86" s="99">
        <v>165</v>
      </c>
      <c r="O86" s="50">
        <f t="shared" si="6"/>
        <v>130680</v>
      </c>
      <c r="P86" s="50">
        <f t="shared" si="7"/>
        <v>81180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265</v>
      </c>
      <c r="E87" s="11"/>
      <c r="F87" s="11"/>
      <c r="G87" s="16">
        <f t="shared" si="8"/>
        <v>265</v>
      </c>
      <c r="H87" s="88"/>
      <c r="I87" s="11"/>
      <c r="J87" s="76">
        <f t="shared" si="9"/>
        <v>265</v>
      </c>
      <c r="K87" s="97">
        <v>-1</v>
      </c>
      <c r="L87" s="76">
        <f t="shared" si="2"/>
        <v>264</v>
      </c>
      <c r="M87" s="86"/>
      <c r="N87" s="99">
        <v>630</v>
      </c>
      <c r="O87" s="50">
        <f t="shared" si="6"/>
        <v>166320</v>
      </c>
      <c r="P87" s="50">
        <f t="shared" si="7"/>
        <v>166950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37</v>
      </c>
      <c r="E88" s="11"/>
      <c r="F88" s="11"/>
      <c r="G88" s="16">
        <f t="shared" si="8"/>
        <v>37</v>
      </c>
      <c r="H88" s="88"/>
      <c r="I88" s="11"/>
      <c r="J88" s="76">
        <f t="shared" si="9"/>
        <v>37</v>
      </c>
      <c r="K88" s="97">
        <v>0</v>
      </c>
      <c r="L88" s="76">
        <f t="shared" ref="L88:L97" si="10">J88+K88</f>
        <v>37</v>
      </c>
      <c r="M88" s="86"/>
      <c r="N88" s="99">
        <v>285</v>
      </c>
      <c r="O88" s="50">
        <f t="shared" si="6"/>
        <v>10545</v>
      </c>
      <c r="P88" s="50">
        <f t="shared" si="7"/>
        <v>10545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474</v>
      </c>
      <c r="E92" s="88"/>
      <c r="F92" s="11"/>
      <c r="G92" s="16">
        <f t="shared" si="8"/>
        <v>474</v>
      </c>
      <c r="H92" s="88">
        <v>1</v>
      </c>
      <c r="I92" s="11"/>
      <c r="J92" s="83">
        <f t="shared" si="9"/>
        <v>473</v>
      </c>
      <c r="K92" s="97">
        <v>0</v>
      </c>
      <c r="L92" s="76">
        <f t="shared" si="10"/>
        <v>473</v>
      </c>
      <c r="M92" s="86"/>
      <c r="N92" s="99">
        <v>113</v>
      </c>
      <c r="O92" s="50">
        <f t="shared" si="6"/>
        <v>53449</v>
      </c>
      <c r="P92" s="50">
        <f t="shared" si="7"/>
        <v>53449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276</v>
      </c>
      <c r="E94" s="88"/>
      <c r="F94" s="11"/>
      <c r="G94" s="16">
        <f t="shared" si="8"/>
        <v>276</v>
      </c>
      <c r="H94" s="88">
        <v>1</v>
      </c>
      <c r="I94" s="11"/>
      <c r="J94" s="83">
        <f t="shared" si="9"/>
        <v>275</v>
      </c>
      <c r="K94" s="97">
        <v>-50</v>
      </c>
      <c r="L94" s="76">
        <f t="shared" si="10"/>
        <v>225</v>
      </c>
      <c r="M94" s="86"/>
      <c r="N94" s="99">
        <v>950</v>
      </c>
      <c r="O94" s="50">
        <f t="shared" si="6"/>
        <v>213750</v>
      </c>
      <c r="P94" s="50">
        <f t="shared" si="7"/>
        <v>261250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1230731.2549999999</v>
      </c>
      <c r="E98" s="27">
        <f t="shared" ref="E98:L98" si="11">SUM(E6:E97)</f>
        <v>194773</v>
      </c>
      <c r="F98" s="27">
        <f t="shared" si="11"/>
        <v>0</v>
      </c>
      <c r="G98" s="27">
        <f t="shared" si="11"/>
        <v>1425504.2549999999</v>
      </c>
      <c r="H98" s="27">
        <f t="shared" si="11"/>
        <v>8121</v>
      </c>
      <c r="I98" s="27">
        <f t="shared" si="11"/>
        <v>577</v>
      </c>
      <c r="J98" s="27">
        <f t="shared" si="11"/>
        <v>1416806.2549999999</v>
      </c>
      <c r="K98" s="27">
        <f t="shared" si="11"/>
        <v>-577592</v>
      </c>
      <c r="L98" s="27">
        <f t="shared" si="11"/>
        <v>839214.25499999989</v>
      </c>
      <c r="M98" s="27">
        <f>SUM(M6:M96)</f>
        <v>0</v>
      </c>
      <c r="N98" s="51"/>
      <c r="O98" s="51">
        <f t="shared" ref="O98" si="12">SUM(O6:O97)</f>
        <v>31040646.080000002</v>
      </c>
      <c r="P98" s="51">
        <f>SUM(P6:P97)</f>
        <v>43313096.780000001</v>
      </c>
      <c r="Q98" s="57">
        <f>O98-P98</f>
        <v>-12272450.699999999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4" t="s">
        <v>115</v>
      </c>
      <c r="M100" s="114"/>
      <c r="O100" s="55" t="s">
        <v>110</v>
      </c>
      <c r="P100" s="54">
        <v>79909923</v>
      </c>
    </row>
    <row r="101" spans="1:22">
      <c r="P101" s="54">
        <f>P100-P98</f>
        <v>36596826.219999999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81" activePane="bottomLeft" state="frozen"/>
      <selection pane="bottomLeft" activeCell="Q105" sqref="Q105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148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23629</v>
      </c>
      <c r="E6" s="15">
        <v>15415</v>
      </c>
      <c r="F6" s="16"/>
      <c r="G6" s="15">
        <f>D6+E6-F6</f>
        <v>39044</v>
      </c>
      <c r="H6" s="15">
        <v>34641</v>
      </c>
      <c r="I6" s="16"/>
      <c r="J6" s="15">
        <f>G6-H6-I6</f>
        <v>4403</v>
      </c>
      <c r="K6" s="15">
        <v>8000</v>
      </c>
      <c r="L6" s="15">
        <f>J6+K6</f>
        <v>12403</v>
      </c>
      <c r="M6" s="30" t="s">
        <v>75</v>
      </c>
      <c r="N6" s="99">
        <v>21.5</v>
      </c>
      <c r="O6" s="50">
        <f>L6*N6</f>
        <v>266664.5</v>
      </c>
      <c r="P6" s="50">
        <f>J6*N6</f>
        <v>94664.5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76075</v>
      </c>
      <c r="E7" s="15">
        <v>14941</v>
      </c>
      <c r="F7" s="15"/>
      <c r="G7" s="15">
        <f t="shared" ref="G7:G80" si="0">D7+E7-F7</f>
        <v>91016</v>
      </c>
      <c r="H7" s="15">
        <v>12346</v>
      </c>
      <c r="I7" s="15"/>
      <c r="J7" s="15">
        <f t="shared" ref="J7:J70" si="1">G7-H7-I7</f>
        <v>78670</v>
      </c>
      <c r="K7" s="15">
        <v>-5000</v>
      </c>
      <c r="L7" s="15">
        <f t="shared" ref="L7:L87" si="2">J7+K7</f>
        <v>73670</v>
      </c>
      <c r="M7" s="30" t="s">
        <v>75</v>
      </c>
      <c r="N7" s="99">
        <v>38</v>
      </c>
      <c r="O7" s="50">
        <f t="shared" ref="O7:O70" si="3">L7*N7</f>
        <v>2799460</v>
      </c>
      <c r="P7" s="50">
        <f t="shared" ref="P7:P70" si="4">J7*N7</f>
        <v>2989460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89230</v>
      </c>
      <c r="E8" s="15"/>
      <c r="F8" s="15"/>
      <c r="G8" s="15">
        <f t="shared" si="0"/>
        <v>89230</v>
      </c>
      <c r="H8" s="15">
        <v>7440</v>
      </c>
      <c r="I8" s="15"/>
      <c r="J8" s="15">
        <f t="shared" si="1"/>
        <v>81790</v>
      </c>
      <c r="K8" s="15">
        <v>0</v>
      </c>
      <c r="L8" s="15">
        <f t="shared" si="2"/>
        <v>81790</v>
      </c>
      <c r="M8" s="30" t="s">
        <v>75</v>
      </c>
      <c r="N8" s="99">
        <v>12</v>
      </c>
      <c r="O8" s="50">
        <f t="shared" si="3"/>
        <v>981480</v>
      </c>
      <c r="P8" s="50">
        <f t="shared" si="4"/>
        <v>981480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775467</v>
      </c>
      <c r="E10" s="15">
        <v>36696</v>
      </c>
      <c r="F10" s="15"/>
      <c r="G10" s="15">
        <f t="shared" si="0"/>
        <v>812163</v>
      </c>
      <c r="H10" s="15"/>
      <c r="I10" s="15"/>
      <c r="J10" s="15">
        <f t="shared" si="1"/>
        <v>812163</v>
      </c>
      <c r="K10" s="15">
        <v>-607000</v>
      </c>
      <c r="L10" s="15">
        <f t="shared" si="2"/>
        <v>205163</v>
      </c>
      <c r="M10" s="30"/>
      <c r="N10" s="99">
        <v>23.09</v>
      </c>
      <c r="O10" s="50">
        <f t="shared" si="3"/>
        <v>4737213.67</v>
      </c>
      <c r="P10" s="50">
        <f t="shared" si="4"/>
        <v>18752843.669999998</v>
      </c>
      <c r="Q10" s="43">
        <f>O10-P10</f>
        <v>-14015629.999999998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2865</v>
      </c>
      <c r="E11" s="15"/>
      <c r="F11" s="15"/>
      <c r="G11" s="15">
        <f t="shared" si="0"/>
        <v>2865</v>
      </c>
      <c r="H11" s="15">
        <v>2391</v>
      </c>
      <c r="I11" s="15"/>
      <c r="J11" s="15">
        <f t="shared" si="1"/>
        <v>474</v>
      </c>
      <c r="K11" s="15">
        <v>2000</v>
      </c>
      <c r="L11" s="15">
        <f t="shared" si="2"/>
        <v>2474</v>
      </c>
      <c r="M11" s="30" t="s">
        <v>75</v>
      </c>
      <c r="N11" s="99">
        <v>16.5</v>
      </c>
      <c r="O11" s="50">
        <f t="shared" si="3"/>
        <v>40821</v>
      </c>
      <c r="P11" s="50">
        <f t="shared" si="4"/>
        <v>7821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10571</v>
      </c>
      <c r="E13" s="15"/>
      <c r="F13" s="15"/>
      <c r="G13" s="15">
        <f t="shared" si="0"/>
        <v>10571</v>
      </c>
      <c r="H13" s="15">
        <v>4191</v>
      </c>
      <c r="I13" s="15"/>
      <c r="J13" s="15">
        <f t="shared" si="1"/>
        <v>6380</v>
      </c>
      <c r="K13" s="15">
        <v>5000</v>
      </c>
      <c r="L13" s="15">
        <f t="shared" si="2"/>
        <v>11380</v>
      </c>
      <c r="M13" s="30" t="s">
        <v>75</v>
      </c>
      <c r="N13" s="99">
        <v>27.5</v>
      </c>
      <c r="O13" s="50">
        <f t="shared" si="3"/>
        <v>312950</v>
      </c>
      <c r="P13" s="50">
        <f t="shared" si="4"/>
        <v>175450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12328</v>
      </c>
      <c r="E14" s="15"/>
      <c r="F14" s="15"/>
      <c r="G14" s="15">
        <f t="shared" si="0"/>
        <v>12328</v>
      </c>
      <c r="H14" s="15">
        <v>185</v>
      </c>
      <c r="I14" s="16"/>
      <c r="J14" s="15">
        <f t="shared" si="1"/>
        <v>12143</v>
      </c>
      <c r="K14" s="15">
        <v>-1000</v>
      </c>
      <c r="L14" s="15">
        <f t="shared" si="2"/>
        <v>11143</v>
      </c>
      <c r="M14" s="30"/>
      <c r="N14" s="99">
        <v>59</v>
      </c>
      <c r="O14" s="50">
        <f t="shared" si="3"/>
        <v>657437</v>
      </c>
      <c r="P14" s="50">
        <f t="shared" si="4"/>
        <v>716437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22969</v>
      </c>
      <c r="E16" s="29"/>
      <c r="F16" s="15"/>
      <c r="G16" s="15">
        <f t="shared" si="0"/>
        <v>22969</v>
      </c>
      <c r="H16" s="15">
        <v>2047</v>
      </c>
      <c r="I16" s="16"/>
      <c r="J16" s="15">
        <f t="shared" si="1"/>
        <v>20922</v>
      </c>
      <c r="K16" s="15">
        <v>0</v>
      </c>
      <c r="L16" s="15">
        <f>J16+K16</f>
        <v>20922</v>
      </c>
      <c r="M16" s="30"/>
      <c r="N16" s="99">
        <v>43.25</v>
      </c>
      <c r="O16" s="50">
        <f t="shared" si="3"/>
        <v>904876.5</v>
      </c>
      <c r="P16" s="50">
        <f t="shared" si="4"/>
        <v>904876.5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9163</v>
      </c>
      <c r="E19" s="15"/>
      <c r="F19" s="15"/>
      <c r="G19" s="15">
        <f t="shared" si="0"/>
        <v>9163</v>
      </c>
      <c r="H19" s="15">
        <v>1441</v>
      </c>
      <c r="I19" s="16"/>
      <c r="J19" s="15">
        <f t="shared" si="1"/>
        <v>7722</v>
      </c>
      <c r="K19" s="15">
        <v>1000</v>
      </c>
      <c r="L19" s="15">
        <f t="shared" si="2"/>
        <v>8722</v>
      </c>
      <c r="M19" s="30"/>
      <c r="N19" s="99">
        <v>22.8</v>
      </c>
      <c r="O19" s="50">
        <f t="shared" si="3"/>
        <v>198861.6</v>
      </c>
      <c r="P19" s="50">
        <f t="shared" si="4"/>
        <v>176061.6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6445</v>
      </c>
      <c r="E20" s="15"/>
      <c r="F20" s="15"/>
      <c r="G20" s="15">
        <f t="shared" si="0"/>
        <v>6445</v>
      </c>
      <c r="H20" s="15">
        <v>543</v>
      </c>
      <c r="I20" s="16"/>
      <c r="J20" s="15">
        <f t="shared" si="1"/>
        <v>5902</v>
      </c>
      <c r="K20" s="15">
        <v>0</v>
      </c>
      <c r="L20" s="15">
        <f t="shared" si="2"/>
        <v>5902</v>
      </c>
      <c r="M20" s="30" t="s">
        <v>75</v>
      </c>
      <c r="N20" s="99">
        <v>20</v>
      </c>
      <c r="O20" s="50">
        <f t="shared" si="3"/>
        <v>118040</v>
      </c>
      <c r="P20" s="50">
        <f t="shared" si="4"/>
        <v>118040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4696</v>
      </c>
      <c r="E21" s="15"/>
      <c r="F21" s="15"/>
      <c r="G21" s="15">
        <f t="shared" si="0"/>
        <v>4696</v>
      </c>
      <c r="H21" s="15">
        <v>378</v>
      </c>
      <c r="I21" s="16"/>
      <c r="J21" s="15">
        <f t="shared" si="1"/>
        <v>4318</v>
      </c>
      <c r="K21" s="15">
        <v>0</v>
      </c>
      <c r="L21" s="15">
        <f t="shared" si="2"/>
        <v>4318</v>
      </c>
      <c r="M21" s="30"/>
      <c r="N21" s="99">
        <v>8.5</v>
      </c>
      <c r="O21" s="50">
        <f t="shared" si="3"/>
        <v>36703</v>
      </c>
      <c r="P21" s="50">
        <f t="shared" si="4"/>
        <v>36703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237870</v>
      </c>
      <c r="E22" s="15"/>
      <c r="F22" s="15"/>
      <c r="G22" s="15">
        <f t="shared" si="0"/>
        <v>237870</v>
      </c>
      <c r="H22" s="15">
        <v>2952</v>
      </c>
      <c r="I22" s="16"/>
      <c r="J22" s="15">
        <f t="shared" si="1"/>
        <v>234918</v>
      </c>
      <c r="K22" s="15">
        <v>8000</v>
      </c>
      <c r="L22" s="15">
        <f t="shared" si="2"/>
        <v>242918</v>
      </c>
      <c r="M22" s="30"/>
      <c r="N22" s="99">
        <v>8.5</v>
      </c>
      <c r="O22" s="50">
        <f t="shared" si="3"/>
        <v>2064803</v>
      </c>
      <c r="P22" s="50">
        <f t="shared" si="4"/>
        <v>1996803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8995</v>
      </c>
      <c r="E23" s="15"/>
      <c r="F23" s="15"/>
      <c r="G23" s="15">
        <f t="shared" si="0"/>
        <v>8995</v>
      </c>
      <c r="H23" s="15">
        <v>1025</v>
      </c>
      <c r="I23" s="16"/>
      <c r="J23" s="15">
        <f t="shared" si="1"/>
        <v>7970</v>
      </c>
      <c r="K23" s="15">
        <v>1500</v>
      </c>
      <c r="L23" s="15">
        <f t="shared" si="2"/>
        <v>9470</v>
      </c>
      <c r="M23" s="30" t="s">
        <v>75</v>
      </c>
      <c r="N23" s="99">
        <v>82</v>
      </c>
      <c r="O23" s="50">
        <f t="shared" si="3"/>
        <v>776540</v>
      </c>
      <c r="P23" s="50">
        <f t="shared" si="4"/>
        <v>653540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12038</v>
      </c>
      <c r="E24" s="29"/>
      <c r="F24" s="29"/>
      <c r="G24" s="15">
        <f t="shared" si="0"/>
        <v>12038</v>
      </c>
      <c r="H24" s="15"/>
      <c r="I24" s="16"/>
      <c r="J24" s="15">
        <f t="shared" si="1"/>
        <v>12038</v>
      </c>
      <c r="K24" s="15">
        <v>2713</v>
      </c>
      <c r="L24" s="15">
        <f t="shared" si="2"/>
        <v>14751</v>
      </c>
      <c r="M24" s="30"/>
      <c r="N24" s="99">
        <v>22.1</v>
      </c>
      <c r="O24" s="50">
        <f t="shared" si="3"/>
        <v>325997.10000000003</v>
      </c>
      <c r="P24" s="50">
        <f t="shared" si="4"/>
        <v>266039.8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2422</v>
      </c>
      <c r="E26" s="15"/>
      <c r="F26" s="15"/>
      <c r="G26" s="15">
        <f t="shared" si="0"/>
        <v>2422</v>
      </c>
      <c r="H26" s="15">
        <v>1070</v>
      </c>
      <c r="I26" s="16"/>
      <c r="J26" s="76">
        <f t="shared" si="1"/>
        <v>1352</v>
      </c>
      <c r="K26" s="76">
        <v>0</v>
      </c>
      <c r="L26" s="76">
        <f t="shared" si="2"/>
        <v>1352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14650</v>
      </c>
      <c r="E32" s="15"/>
      <c r="F32" s="15"/>
      <c r="G32" s="15">
        <f t="shared" si="0"/>
        <v>14650</v>
      </c>
      <c r="H32" s="15"/>
      <c r="I32" s="16"/>
      <c r="J32" s="76">
        <f t="shared" si="1"/>
        <v>14650</v>
      </c>
      <c r="K32" s="76"/>
      <c r="L32" s="76">
        <f t="shared" si="2"/>
        <v>14650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15013</v>
      </c>
      <c r="E33" s="15"/>
      <c r="F33" s="15"/>
      <c r="G33" s="15">
        <f t="shared" si="0"/>
        <v>15013</v>
      </c>
      <c r="H33" s="15">
        <v>321</v>
      </c>
      <c r="I33" s="16"/>
      <c r="J33" s="76">
        <f t="shared" si="1"/>
        <v>14692</v>
      </c>
      <c r="K33" s="76">
        <v>206</v>
      </c>
      <c r="L33" s="76">
        <f t="shared" si="2"/>
        <v>14898</v>
      </c>
      <c r="M33" s="30"/>
      <c r="N33" s="99">
        <v>12.49</v>
      </c>
      <c r="O33" s="50">
        <f t="shared" si="3"/>
        <v>186076.02</v>
      </c>
      <c r="P33" s="50">
        <f t="shared" si="4"/>
        <v>183503.08000000002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194</v>
      </c>
      <c r="E34" s="15"/>
      <c r="F34" s="15"/>
      <c r="G34" s="15">
        <f t="shared" si="0"/>
        <v>194</v>
      </c>
      <c r="H34" s="15">
        <v>9</v>
      </c>
      <c r="I34" s="16"/>
      <c r="J34" s="76">
        <f t="shared" si="1"/>
        <v>185</v>
      </c>
      <c r="K34" s="76">
        <v>-50</v>
      </c>
      <c r="L34" s="76">
        <f t="shared" si="2"/>
        <v>135</v>
      </c>
      <c r="M34" s="77"/>
      <c r="N34" s="99">
        <v>435</v>
      </c>
      <c r="O34" s="50">
        <f t="shared" si="3"/>
        <v>58725</v>
      </c>
      <c r="P34" s="50">
        <f t="shared" si="4"/>
        <v>80475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135</v>
      </c>
      <c r="E35" s="15"/>
      <c r="F35" s="15"/>
      <c r="G35" s="15">
        <f t="shared" si="0"/>
        <v>135</v>
      </c>
      <c r="H35" s="15">
        <v>10</v>
      </c>
      <c r="I35" s="16"/>
      <c r="J35" s="76">
        <f>G35-H35-I35</f>
        <v>125</v>
      </c>
      <c r="K35" s="76">
        <v>-50</v>
      </c>
      <c r="L35" s="76">
        <f t="shared" si="2"/>
        <v>75</v>
      </c>
      <c r="M35" s="84"/>
      <c r="N35" s="99">
        <v>730</v>
      </c>
      <c r="O35" s="50">
        <f t="shared" si="3"/>
        <v>54750</v>
      </c>
      <c r="P35" s="50">
        <f t="shared" si="4"/>
        <v>91250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346</v>
      </c>
      <c r="E36" s="15"/>
      <c r="F36" s="15"/>
      <c r="G36" s="15">
        <f t="shared" si="0"/>
        <v>346</v>
      </c>
      <c r="H36" s="16">
        <v>6</v>
      </c>
      <c r="I36" s="16"/>
      <c r="J36" s="76">
        <f t="shared" si="1"/>
        <v>340</v>
      </c>
      <c r="K36" s="76">
        <v>-125</v>
      </c>
      <c r="L36" s="76">
        <f t="shared" si="2"/>
        <v>215</v>
      </c>
      <c r="M36" s="84"/>
      <c r="N36" s="99">
        <v>155</v>
      </c>
      <c r="O36" s="50">
        <f t="shared" si="3"/>
        <v>33325</v>
      </c>
      <c r="P36" s="50">
        <f t="shared" si="4"/>
        <v>52700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1521</v>
      </c>
      <c r="E37" s="15"/>
      <c r="F37" s="15"/>
      <c r="G37" s="15">
        <f t="shared" si="0"/>
        <v>1521</v>
      </c>
      <c r="H37" s="16"/>
      <c r="I37" s="16"/>
      <c r="J37" s="76">
        <f t="shared" si="1"/>
        <v>1521</v>
      </c>
      <c r="K37" s="76">
        <v>0</v>
      </c>
      <c r="L37" s="76">
        <f t="shared" si="2"/>
        <v>1521</v>
      </c>
      <c r="M37" s="84"/>
      <c r="N37" s="99">
        <v>125</v>
      </c>
      <c r="O37" s="50">
        <f t="shared" si="3"/>
        <v>190125</v>
      </c>
      <c r="P37" s="50">
        <f t="shared" si="4"/>
        <v>190125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205</v>
      </c>
      <c r="E39" s="15"/>
      <c r="F39" s="15"/>
      <c r="G39" s="15">
        <f t="shared" si="0"/>
        <v>205</v>
      </c>
      <c r="H39" s="16">
        <v>6</v>
      </c>
      <c r="I39" s="16"/>
      <c r="J39" s="76">
        <f t="shared" si="1"/>
        <v>199</v>
      </c>
      <c r="K39" s="76">
        <v>-70</v>
      </c>
      <c r="L39" s="76">
        <f t="shared" si="2"/>
        <v>129</v>
      </c>
      <c r="M39" s="84"/>
      <c r="N39" s="99">
        <v>975</v>
      </c>
      <c r="O39" s="50">
        <f t="shared" si="3"/>
        <v>125775</v>
      </c>
      <c r="P39" s="50">
        <f t="shared" si="4"/>
        <v>194025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719</v>
      </c>
      <c r="E41" s="15"/>
      <c r="F41" s="15"/>
      <c r="G41" s="15">
        <f t="shared" si="0"/>
        <v>719</v>
      </c>
      <c r="H41" s="16">
        <v>19</v>
      </c>
      <c r="I41" s="16"/>
      <c r="J41" s="76">
        <f t="shared" si="1"/>
        <v>700</v>
      </c>
      <c r="K41" s="76">
        <v>500</v>
      </c>
      <c r="L41" s="76">
        <f t="shared" si="2"/>
        <v>1200</v>
      </c>
      <c r="M41" s="84"/>
      <c r="N41" s="99">
        <v>125</v>
      </c>
      <c r="O41" s="50">
        <f t="shared" si="3"/>
        <v>150000</v>
      </c>
      <c r="P41" s="50">
        <f t="shared" si="4"/>
        <v>87500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16278</v>
      </c>
      <c r="E46" s="15"/>
      <c r="F46" s="15"/>
      <c r="G46" s="15">
        <f t="shared" si="0"/>
        <v>16278</v>
      </c>
      <c r="H46" s="16">
        <v>133</v>
      </c>
      <c r="I46" s="16"/>
      <c r="J46" s="76">
        <f t="shared" si="1"/>
        <v>16145</v>
      </c>
      <c r="K46" s="76">
        <v>-180</v>
      </c>
      <c r="L46" s="76">
        <f t="shared" si="2"/>
        <v>15965</v>
      </c>
      <c r="M46" s="84"/>
      <c r="N46" s="99">
        <v>275</v>
      </c>
      <c r="O46" s="50">
        <f t="shared" si="3"/>
        <v>4390375</v>
      </c>
      <c r="P46" s="50">
        <f t="shared" si="4"/>
        <v>4439875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-47</v>
      </c>
      <c r="E49" s="15"/>
      <c r="F49" s="15"/>
      <c r="G49" s="15">
        <f t="shared" si="0"/>
        <v>-47</v>
      </c>
      <c r="H49" s="15"/>
      <c r="I49" s="16"/>
      <c r="J49" s="76">
        <f t="shared" si="1"/>
        <v>-47</v>
      </c>
      <c r="K49" s="76">
        <v>45</v>
      </c>
      <c r="L49" s="76">
        <f t="shared" si="2"/>
        <v>-2</v>
      </c>
      <c r="M49" s="84"/>
      <c r="N49" s="99">
        <v>800</v>
      </c>
      <c r="O49" s="50">
        <f t="shared" si="3"/>
        <v>-1600</v>
      </c>
      <c r="P49" s="50">
        <f t="shared" si="4"/>
        <v>-37600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85</v>
      </c>
      <c r="E53" s="15"/>
      <c r="F53" s="15"/>
      <c r="G53" s="15">
        <f t="shared" si="0"/>
        <v>85</v>
      </c>
      <c r="H53" s="15">
        <v>4</v>
      </c>
      <c r="I53" s="20"/>
      <c r="J53" s="76">
        <f t="shared" si="1"/>
        <v>81</v>
      </c>
      <c r="K53" s="76">
        <v>0</v>
      </c>
      <c r="L53" s="76">
        <f t="shared" si="2"/>
        <v>81</v>
      </c>
      <c r="M53" s="84"/>
      <c r="N53" s="99">
        <v>1600</v>
      </c>
      <c r="O53" s="50">
        <f t="shared" si="3"/>
        <v>129600</v>
      </c>
      <c r="P53" s="50">
        <f t="shared" si="4"/>
        <v>129600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750</v>
      </c>
      <c r="E54" s="15"/>
      <c r="F54" s="15"/>
      <c r="G54" s="15">
        <f t="shared" si="0"/>
        <v>750</v>
      </c>
      <c r="H54" s="15">
        <v>1</v>
      </c>
      <c r="I54" s="16"/>
      <c r="J54" s="76">
        <f t="shared" si="1"/>
        <v>749</v>
      </c>
      <c r="K54" s="76">
        <v>-350</v>
      </c>
      <c r="L54" s="76">
        <f t="shared" si="2"/>
        <v>399</v>
      </c>
      <c r="M54" s="84"/>
      <c r="N54" s="99">
        <v>375</v>
      </c>
      <c r="O54" s="50">
        <f t="shared" si="3"/>
        <v>149625</v>
      </c>
      <c r="P54" s="50">
        <f t="shared" si="4"/>
        <v>280875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132</v>
      </c>
      <c r="E55" s="15"/>
      <c r="F55" s="15"/>
      <c r="G55" s="15">
        <f t="shared" si="0"/>
        <v>132</v>
      </c>
      <c r="H55" s="15">
        <v>4</v>
      </c>
      <c r="I55" s="21"/>
      <c r="J55" s="76">
        <f t="shared" si="1"/>
        <v>128</v>
      </c>
      <c r="K55" s="76">
        <v>9</v>
      </c>
      <c r="L55" s="76">
        <f t="shared" si="2"/>
        <v>137</v>
      </c>
      <c r="M55" s="30"/>
      <c r="N55" s="99">
        <v>425</v>
      </c>
      <c r="O55" s="50">
        <f t="shared" si="3"/>
        <v>58225</v>
      </c>
      <c r="P55" s="50">
        <f t="shared" si="4"/>
        <v>54400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328</v>
      </c>
      <c r="E56" s="15"/>
      <c r="F56" s="15"/>
      <c r="G56" s="15">
        <f t="shared" si="0"/>
        <v>328</v>
      </c>
      <c r="H56" s="15">
        <v>22</v>
      </c>
      <c r="I56" s="22"/>
      <c r="J56" s="76">
        <f t="shared" si="1"/>
        <v>306</v>
      </c>
      <c r="K56" s="76">
        <v>-200</v>
      </c>
      <c r="L56" s="76">
        <f t="shared" si="2"/>
        <v>106</v>
      </c>
      <c r="M56" s="84"/>
      <c r="N56" s="99">
        <v>390</v>
      </c>
      <c r="O56" s="50">
        <f t="shared" si="3"/>
        <v>41340</v>
      </c>
      <c r="P56" s="50">
        <f t="shared" si="4"/>
        <v>119340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-3</v>
      </c>
      <c r="E58" s="15"/>
      <c r="F58" s="15"/>
      <c r="G58" s="15">
        <f t="shared" si="0"/>
        <v>-3</v>
      </c>
      <c r="H58" s="15">
        <v>27</v>
      </c>
      <c r="I58" s="16"/>
      <c r="J58" s="76">
        <f t="shared" si="1"/>
        <v>-30</v>
      </c>
      <c r="K58" s="76">
        <v>0</v>
      </c>
      <c r="L58" s="76">
        <f t="shared" si="2"/>
        <v>-30</v>
      </c>
      <c r="M58" s="30"/>
      <c r="N58" s="99">
        <v>132</v>
      </c>
      <c r="O58" s="50">
        <f t="shared" si="3"/>
        <v>-3960</v>
      </c>
      <c r="P58" s="50">
        <f t="shared" si="4"/>
        <v>-3960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230</v>
      </c>
      <c r="E59" s="15"/>
      <c r="F59" s="15"/>
      <c r="G59" s="15">
        <f t="shared" si="0"/>
        <v>230</v>
      </c>
      <c r="H59" s="15">
        <v>20</v>
      </c>
      <c r="I59" s="16"/>
      <c r="J59" s="76">
        <f t="shared" si="1"/>
        <v>210</v>
      </c>
      <c r="K59" s="76">
        <v>0</v>
      </c>
      <c r="L59" s="76">
        <f t="shared" si="2"/>
        <v>210</v>
      </c>
      <c r="M59" s="84"/>
      <c r="N59" s="99">
        <v>570</v>
      </c>
      <c r="O59" s="50">
        <f t="shared" si="3"/>
        <v>119700</v>
      </c>
      <c r="P59" s="50">
        <f t="shared" si="4"/>
        <v>119700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5802</v>
      </c>
      <c r="E62" s="15"/>
      <c r="F62" s="15"/>
      <c r="G62" s="15">
        <f t="shared" si="0"/>
        <v>5802</v>
      </c>
      <c r="H62" s="15">
        <v>96</v>
      </c>
      <c r="I62" s="16"/>
      <c r="J62" s="76">
        <f t="shared" si="1"/>
        <v>5706</v>
      </c>
      <c r="K62" s="76">
        <v>187</v>
      </c>
      <c r="L62" s="76">
        <f t="shared" si="2"/>
        <v>5893</v>
      </c>
      <c r="M62" s="30"/>
      <c r="N62" s="99">
        <v>87.38</v>
      </c>
      <c r="O62" s="50">
        <f t="shared" si="3"/>
        <v>514930.33999999997</v>
      </c>
      <c r="P62" s="50">
        <f t="shared" si="4"/>
        <v>498590.27999999997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15</v>
      </c>
      <c r="E63" s="15"/>
      <c r="F63" s="15"/>
      <c r="G63" s="15">
        <f t="shared" si="0"/>
        <v>15</v>
      </c>
      <c r="H63" s="15">
        <v>3</v>
      </c>
      <c r="I63" s="16"/>
      <c r="J63" s="76">
        <f t="shared" si="1"/>
        <v>12</v>
      </c>
      <c r="K63" s="76">
        <v>300</v>
      </c>
      <c r="L63" s="76">
        <f t="shared" si="2"/>
        <v>312</v>
      </c>
      <c r="M63" s="84"/>
      <c r="N63" s="99">
        <v>290</v>
      </c>
      <c r="O63" s="50">
        <f t="shared" si="3"/>
        <v>90480</v>
      </c>
      <c r="P63" s="50">
        <f t="shared" si="4"/>
        <v>3480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209</v>
      </c>
      <c r="E64" s="23"/>
      <c r="F64" s="23"/>
      <c r="G64" s="23">
        <f t="shared" si="0"/>
        <v>209</v>
      </c>
      <c r="H64" s="23">
        <v>60</v>
      </c>
      <c r="I64" s="23"/>
      <c r="J64" s="76">
        <f t="shared" si="1"/>
        <v>149</v>
      </c>
      <c r="K64" s="79">
        <v>100</v>
      </c>
      <c r="L64" s="76">
        <f t="shared" si="2"/>
        <v>249</v>
      </c>
      <c r="M64" s="30"/>
      <c r="N64" s="99">
        <v>70</v>
      </c>
      <c r="O64" s="50">
        <f t="shared" si="3"/>
        <v>17430</v>
      </c>
      <c r="P64" s="50">
        <f t="shared" si="4"/>
        <v>10430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186</v>
      </c>
      <c r="E65" s="24"/>
      <c r="F65" s="24"/>
      <c r="G65" s="16">
        <f t="shared" si="0"/>
        <v>186</v>
      </c>
      <c r="H65" s="24">
        <v>104</v>
      </c>
      <c r="I65" s="24"/>
      <c r="J65" s="76">
        <f t="shared" si="1"/>
        <v>82</v>
      </c>
      <c r="K65" s="80">
        <v>-200</v>
      </c>
      <c r="L65" s="76">
        <f t="shared" si="2"/>
        <v>-118</v>
      </c>
      <c r="M65" s="86"/>
      <c r="N65" s="99">
        <v>240</v>
      </c>
      <c r="O65" s="50">
        <f t="shared" si="3"/>
        <v>-28320</v>
      </c>
      <c r="P65" s="50">
        <f t="shared" si="4"/>
        <v>19680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345</v>
      </c>
      <c r="E66" s="24"/>
      <c r="F66" s="24"/>
      <c r="G66" s="16">
        <f t="shared" si="0"/>
        <v>345</v>
      </c>
      <c r="H66" s="24">
        <v>11</v>
      </c>
      <c r="I66" s="24"/>
      <c r="J66" s="76">
        <f t="shared" si="1"/>
        <v>334</v>
      </c>
      <c r="K66" s="81">
        <v>0</v>
      </c>
      <c r="L66" s="81">
        <f t="shared" si="2"/>
        <v>334</v>
      </c>
      <c r="M66" s="86"/>
      <c r="N66" s="99">
        <v>1100</v>
      </c>
      <c r="O66" s="50">
        <f t="shared" si="3"/>
        <v>367400</v>
      </c>
      <c r="P66" s="50">
        <f t="shared" si="4"/>
        <v>367400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-1123</v>
      </c>
      <c r="E67" s="24"/>
      <c r="F67" s="24"/>
      <c r="G67" s="16">
        <f t="shared" si="0"/>
        <v>-1123</v>
      </c>
      <c r="H67" s="24">
        <v>664</v>
      </c>
      <c r="I67" s="24"/>
      <c r="J67" s="76">
        <f t="shared" si="1"/>
        <v>-1787</v>
      </c>
      <c r="K67" s="80">
        <v>2000</v>
      </c>
      <c r="L67" s="76">
        <f t="shared" si="2"/>
        <v>213</v>
      </c>
      <c r="M67" s="84"/>
      <c r="N67" s="99">
        <v>53</v>
      </c>
      <c r="O67" s="50">
        <f t="shared" si="3"/>
        <v>11289</v>
      </c>
      <c r="P67" s="50">
        <f t="shared" si="4"/>
        <v>-94711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444</v>
      </c>
      <c r="E70" s="24"/>
      <c r="F70" s="24"/>
      <c r="G70" s="16">
        <f t="shared" si="0"/>
        <v>444</v>
      </c>
      <c r="H70" s="24">
        <v>5</v>
      </c>
      <c r="I70" s="24"/>
      <c r="J70" s="76">
        <f t="shared" si="1"/>
        <v>439</v>
      </c>
      <c r="K70" s="80">
        <v>-153</v>
      </c>
      <c r="L70" s="76">
        <f t="shared" si="2"/>
        <v>286</v>
      </c>
      <c r="M70" s="86"/>
      <c r="N70" s="99">
        <v>260</v>
      </c>
      <c r="O70" s="50">
        <f t="shared" si="3"/>
        <v>74360</v>
      </c>
      <c r="P70" s="50">
        <f t="shared" si="4"/>
        <v>114140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3718</v>
      </c>
      <c r="E72" s="24"/>
      <c r="F72" s="24"/>
      <c r="G72" s="16">
        <f t="shared" si="0"/>
        <v>3718</v>
      </c>
      <c r="H72" s="24">
        <v>133</v>
      </c>
      <c r="I72" s="24"/>
      <c r="J72" s="76">
        <f t="shared" si="5"/>
        <v>3585</v>
      </c>
      <c r="K72" s="80">
        <v>-200</v>
      </c>
      <c r="L72" s="76">
        <f t="shared" si="2"/>
        <v>3385</v>
      </c>
      <c r="M72" s="30"/>
      <c r="N72" s="99">
        <v>39</v>
      </c>
      <c r="O72" s="50">
        <f t="shared" si="6"/>
        <v>132015</v>
      </c>
      <c r="P72" s="50">
        <f t="shared" si="7"/>
        <v>139815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18877</v>
      </c>
      <c r="E73" s="24"/>
      <c r="F73" s="24"/>
      <c r="G73" s="16">
        <f t="shared" si="0"/>
        <v>18877</v>
      </c>
      <c r="H73" s="24">
        <v>117</v>
      </c>
      <c r="I73" s="42"/>
      <c r="J73" s="76">
        <f t="shared" si="5"/>
        <v>18760</v>
      </c>
      <c r="K73" s="80">
        <v>0</v>
      </c>
      <c r="L73" s="76">
        <f t="shared" si="2"/>
        <v>18760</v>
      </c>
      <c r="M73" s="84"/>
      <c r="N73" s="99">
        <v>83</v>
      </c>
      <c r="O73" s="50">
        <f t="shared" si="6"/>
        <v>1557080</v>
      </c>
      <c r="P73" s="50">
        <f t="shared" si="7"/>
        <v>1557080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2142</v>
      </c>
      <c r="E75" s="24"/>
      <c r="F75" s="24"/>
      <c r="G75" s="16">
        <f t="shared" si="0"/>
        <v>2142</v>
      </c>
      <c r="H75" s="24">
        <v>240</v>
      </c>
      <c r="I75" s="24"/>
      <c r="J75" s="76">
        <f t="shared" si="5"/>
        <v>1902</v>
      </c>
      <c r="K75" s="80">
        <v>273</v>
      </c>
      <c r="L75" s="76">
        <f t="shared" si="2"/>
        <v>2175</v>
      </c>
      <c r="M75" s="86"/>
      <c r="N75" s="99">
        <v>16</v>
      </c>
      <c r="O75" s="50">
        <f t="shared" si="6"/>
        <v>34800</v>
      </c>
      <c r="P75" s="50">
        <f t="shared" si="7"/>
        <v>30432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375</v>
      </c>
      <c r="E76" s="24"/>
      <c r="F76" s="24"/>
      <c r="G76" s="16">
        <f t="shared" si="0"/>
        <v>375</v>
      </c>
      <c r="H76" s="24">
        <v>21</v>
      </c>
      <c r="I76" s="24"/>
      <c r="J76" s="76">
        <f t="shared" si="5"/>
        <v>354</v>
      </c>
      <c r="K76" s="80">
        <v>-250</v>
      </c>
      <c r="L76" s="76">
        <f t="shared" si="2"/>
        <v>104</v>
      </c>
      <c r="M76" s="30"/>
      <c r="N76" s="99">
        <v>400</v>
      </c>
      <c r="O76" s="50">
        <f t="shared" si="6"/>
        <v>41600</v>
      </c>
      <c r="P76" s="50">
        <f t="shared" si="7"/>
        <v>141600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346</v>
      </c>
      <c r="E78" s="24"/>
      <c r="F78" s="24"/>
      <c r="G78" s="16">
        <f t="shared" si="0"/>
        <v>346</v>
      </c>
      <c r="H78" s="24">
        <v>11</v>
      </c>
      <c r="I78" s="24"/>
      <c r="J78" s="76">
        <f t="shared" si="5"/>
        <v>335</v>
      </c>
      <c r="K78" s="80">
        <v>100</v>
      </c>
      <c r="L78" s="76">
        <f t="shared" si="2"/>
        <v>435</v>
      </c>
      <c r="M78" s="86"/>
      <c r="N78" s="99">
        <v>900</v>
      </c>
      <c r="O78" s="50">
        <f t="shared" si="6"/>
        <v>391500</v>
      </c>
      <c r="P78" s="50">
        <f t="shared" si="7"/>
        <v>301500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5179</v>
      </c>
      <c r="E83" s="98"/>
      <c r="F83" s="24"/>
      <c r="G83" s="16">
        <f t="shared" si="8"/>
        <v>5179</v>
      </c>
      <c r="H83" s="24"/>
      <c r="I83" s="95"/>
      <c r="J83" s="76">
        <f t="shared" si="5"/>
        <v>5179</v>
      </c>
      <c r="K83" s="81">
        <v>0</v>
      </c>
      <c r="L83" s="76">
        <f t="shared" si="2"/>
        <v>5179</v>
      </c>
      <c r="M83" s="85"/>
      <c r="N83" s="100">
        <v>64</v>
      </c>
      <c r="O83" s="50">
        <f t="shared" si="6"/>
        <v>331456</v>
      </c>
      <c r="P83" s="50">
        <f t="shared" si="7"/>
        <v>331456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18</v>
      </c>
      <c r="E84" s="89"/>
      <c r="F84" s="12"/>
      <c r="G84" s="45">
        <f t="shared" si="8"/>
        <v>18</v>
      </c>
      <c r="H84" s="12"/>
      <c r="I84" s="94"/>
      <c r="J84" s="82">
        <f t="shared" ref="J84:J97" si="9">D84+E84-H84-I84</f>
        <v>18</v>
      </c>
      <c r="K84" s="96">
        <v>0</v>
      </c>
      <c r="L84" s="82">
        <f t="shared" si="2"/>
        <v>18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/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492</v>
      </c>
      <c r="E86" s="90"/>
      <c r="F86" s="11"/>
      <c r="G86" s="16">
        <f t="shared" si="8"/>
        <v>492</v>
      </c>
      <c r="H86" s="88">
        <v>29</v>
      </c>
      <c r="I86" s="11"/>
      <c r="J86" s="76">
        <f t="shared" si="9"/>
        <v>463</v>
      </c>
      <c r="K86" s="97">
        <v>300</v>
      </c>
      <c r="L86" s="76">
        <f t="shared" si="2"/>
        <v>763</v>
      </c>
      <c r="M86" s="84"/>
      <c r="N86" s="99">
        <v>165</v>
      </c>
      <c r="O86" s="50">
        <f t="shared" si="6"/>
        <v>125895</v>
      </c>
      <c r="P86" s="50">
        <f t="shared" si="7"/>
        <v>76395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265</v>
      </c>
      <c r="E87" s="11"/>
      <c r="F87" s="11"/>
      <c r="G87" s="16">
        <f t="shared" si="8"/>
        <v>265</v>
      </c>
      <c r="H87" s="88"/>
      <c r="I87" s="11"/>
      <c r="J87" s="76">
        <f t="shared" si="9"/>
        <v>265</v>
      </c>
      <c r="K87" s="97">
        <v>-1</v>
      </c>
      <c r="L87" s="76">
        <f t="shared" si="2"/>
        <v>264</v>
      </c>
      <c r="M87" s="86"/>
      <c r="N87" s="99">
        <v>630</v>
      </c>
      <c r="O87" s="50">
        <f t="shared" si="6"/>
        <v>166320</v>
      </c>
      <c r="P87" s="50">
        <f t="shared" si="7"/>
        <v>166950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37</v>
      </c>
      <c r="E88" s="11"/>
      <c r="F88" s="11"/>
      <c r="G88" s="16">
        <f t="shared" si="8"/>
        <v>37</v>
      </c>
      <c r="H88" s="88">
        <v>7</v>
      </c>
      <c r="I88" s="11"/>
      <c r="J88" s="76">
        <f t="shared" si="9"/>
        <v>30</v>
      </c>
      <c r="K88" s="97">
        <v>0</v>
      </c>
      <c r="L88" s="76">
        <f t="shared" ref="L88:L97" si="10">J88+K88</f>
        <v>30</v>
      </c>
      <c r="M88" s="86"/>
      <c r="N88" s="99">
        <v>285</v>
      </c>
      <c r="O88" s="50">
        <f t="shared" si="6"/>
        <v>8550</v>
      </c>
      <c r="P88" s="50">
        <f t="shared" si="7"/>
        <v>8550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473</v>
      </c>
      <c r="E92" s="88"/>
      <c r="F92" s="11"/>
      <c r="G92" s="16">
        <f t="shared" si="8"/>
        <v>473</v>
      </c>
      <c r="H92" s="88"/>
      <c r="I92" s="11"/>
      <c r="J92" s="83">
        <f t="shared" si="9"/>
        <v>473</v>
      </c>
      <c r="K92" s="97">
        <v>0</v>
      </c>
      <c r="L92" s="76">
        <f t="shared" si="10"/>
        <v>473</v>
      </c>
      <c r="M92" s="86"/>
      <c r="N92" s="99">
        <v>113</v>
      </c>
      <c r="O92" s="50">
        <f t="shared" si="6"/>
        <v>53449</v>
      </c>
      <c r="P92" s="50">
        <f t="shared" si="7"/>
        <v>53449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275</v>
      </c>
      <c r="E94" s="88"/>
      <c r="F94" s="11"/>
      <c r="G94" s="16">
        <f t="shared" si="8"/>
        <v>275</v>
      </c>
      <c r="H94" s="88">
        <v>13</v>
      </c>
      <c r="I94" s="11"/>
      <c r="J94" s="83">
        <f t="shared" si="9"/>
        <v>262</v>
      </c>
      <c r="K94" s="97">
        <v>-50</v>
      </c>
      <c r="L94" s="76">
        <f t="shared" si="10"/>
        <v>212</v>
      </c>
      <c r="M94" s="86"/>
      <c r="N94" s="99">
        <v>950</v>
      </c>
      <c r="O94" s="50">
        <f t="shared" si="6"/>
        <v>201400</v>
      </c>
      <c r="P94" s="50">
        <f t="shared" si="7"/>
        <v>248900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1416806.2549999999</v>
      </c>
      <c r="E98" s="27">
        <f t="shared" ref="E98:L98" si="11">SUM(E6:E97)</f>
        <v>67052</v>
      </c>
      <c r="F98" s="27">
        <f t="shared" si="11"/>
        <v>0</v>
      </c>
      <c r="G98" s="27">
        <f t="shared" si="11"/>
        <v>1483858.2549999999</v>
      </c>
      <c r="H98" s="27">
        <f t="shared" si="11"/>
        <v>72746</v>
      </c>
      <c r="I98" s="27">
        <f t="shared" si="11"/>
        <v>0</v>
      </c>
      <c r="J98" s="27">
        <f t="shared" si="11"/>
        <v>1411112.2549999999</v>
      </c>
      <c r="K98" s="27">
        <f t="shared" si="11"/>
        <v>-576592</v>
      </c>
      <c r="L98" s="27">
        <f t="shared" si="11"/>
        <v>834520.25499999989</v>
      </c>
      <c r="M98" s="27">
        <f>SUM(M6:M96)</f>
        <v>0</v>
      </c>
      <c r="N98" s="51"/>
      <c r="O98" s="51">
        <f t="shared" ref="O98" si="12">SUM(O6:O97)</f>
        <v>30890554.400000002</v>
      </c>
      <c r="P98" s="51">
        <f>SUM(P6:P97)</f>
        <v>43110005.100000001</v>
      </c>
      <c r="Q98" s="57">
        <f>O98-P98</f>
        <v>-12219450.699999999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5" t="s">
        <v>115</v>
      </c>
      <c r="M100" s="115"/>
      <c r="O100" s="55" t="s">
        <v>110</v>
      </c>
      <c r="P100" s="54">
        <v>79909923</v>
      </c>
    </row>
    <row r="101" spans="1:22">
      <c r="P101" s="54">
        <f>P100-P98</f>
        <v>36799917.899999999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5" activePane="bottomLeft" state="frozen"/>
      <selection pane="bottomLeft" activeCell="Q102" sqref="Q102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148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4403</v>
      </c>
      <c r="E6" s="15">
        <v>61037</v>
      </c>
      <c r="F6" s="16"/>
      <c r="G6" s="15">
        <f>D6+E6-F6</f>
        <v>65440</v>
      </c>
      <c r="H6" s="15">
        <v>16471</v>
      </c>
      <c r="I6" s="16"/>
      <c r="J6" s="15">
        <f>G6-H6-I6</f>
        <v>48969</v>
      </c>
      <c r="K6" s="15">
        <v>8000</v>
      </c>
      <c r="L6" s="15">
        <f>J6+K6</f>
        <v>56969</v>
      </c>
      <c r="M6" s="30" t="s">
        <v>75</v>
      </c>
      <c r="N6" s="99">
        <v>21.5</v>
      </c>
      <c r="O6" s="50">
        <f>L6*N6</f>
        <v>1224833.5</v>
      </c>
      <c r="P6" s="50">
        <f>J6*N6</f>
        <v>1052833.5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78670</v>
      </c>
      <c r="E7" s="15">
        <v>14941</v>
      </c>
      <c r="F7" s="15"/>
      <c r="G7" s="15">
        <f t="shared" ref="G7:G80" si="0">D7+E7-F7</f>
        <v>93611</v>
      </c>
      <c r="H7" s="15">
        <v>3489</v>
      </c>
      <c r="I7" s="15"/>
      <c r="J7" s="15">
        <f t="shared" ref="J7:J70" si="1">G7-H7-I7</f>
        <v>90122</v>
      </c>
      <c r="K7" s="15">
        <v>-5000</v>
      </c>
      <c r="L7" s="15">
        <f t="shared" ref="L7:L87" si="2">J7+K7</f>
        <v>85122</v>
      </c>
      <c r="M7" s="30" t="s">
        <v>75</v>
      </c>
      <c r="N7" s="99">
        <v>38</v>
      </c>
      <c r="O7" s="50">
        <f t="shared" ref="O7:O70" si="3">L7*N7</f>
        <v>3234636</v>
      </c>
      <c r="P7" s="50">
        <f t="shared" ref="P7:P70" si="4">J7*N7</f>
        <v>3424636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81790</v>
      </c>
      <c r="E8" s="15"/>
      <c r="F8" s="15"/>
      <c r="G8" s="15">
        <f t="shared" si="0"/>
        <v>81790</v>
      </c>
      <c r="H8" s="15">
        <v>5700</v>
      </c>
      <c r="I8" s="15"/>
      <c r="J8" s="15">
        <f t="shared" si="1"/>
        <v>76090</v>
      </c>
      <c r="K8" s="15">
        <v>0</v>
      </c>
      <c r="L8" s="15">
        <f t="shared" si="2"/>
        <v>76090</v>
      </c>
      <c r="M8" s="30" t="s">
        <v>75</v>
      </c>
      <c r="N8" s="99">
        <v>12</v>
      </c>
      <c r="O8" s="50">
        <f t="shared" si="3"/>
        <v>913080</v>
      </c>
      <c r="P8" s="50">
        <f t="shared" si="4"/>
        <v>913080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812163</v>
      </c>
      <c r="E10" s="15"/>
      <c r="F10" s="15"/>
      <c r="G10" s="15">
        <f t="shared" si="0"/>
        <v>812163</v>
      </c>
      <c r="H10" s="15">
        <v>650</v>
      </c>
      <c r="I10" s="15"/>
      <c r="J10" s="15">
        <f t="shared" si="1"/>
        <v>811513</v>
      </c>
      <c r="K10" s="15">
        <v>-607000</v>
      </c>
      <c r="L10" s="15">
        <f t="shared" si="2"/>
        <v>204513</v>
      </c>
      <c r="M10" s="30"/>
      <c r="N10" s="99">
        <v>23.09</v>
      </c>
      <c r="O10" s="50">
        <f t="shared" si="3"/>
        <v>4722205.17</v>
      </c>
      <c r="P10" s="50">
        <f t="shared" si="4"/>
        <v>18737835.169999998</v>
      </c>
      <c r="Q10" s="43">
        <f>O10-P10</f>
        <v>-14015629.999999998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474</v>
      </c>
      <c r="E11" s="15">
        <v>14386</v>
      </c>
      <c r="F11" s="15"/>
      <c r="G11" s="15">
        <f t="shared" si="0"/>
        <v>14860</v>
      </c>
      <c r="H11" s="15">
        <v>1261</v>
      </c>
      <c r="I11" s="15"/>
      <c r="J11" s="15">
        <f t="shared" si="1"/>
        <v>13599</v>
      </c>
      <c r="K11" s="15">
        <v>2000</v>
      </c>
      <c r="L11" s="15">
        <f t="shared" si="2"/>
        <v>15599</v>
      </c>
      <c r="M11" s="30" t="s">
        <v>75</v>
      </c>
      <c r="N11" s="99">
        <v>16.5</v>
      </c>
      <c r="O11" s="50">
        <f t="shared" si="3"/>
        <v>257383.5</v>
      </c>
      <c r="P11" s="50">
        <f t="shared" si="4"/>
        <v>224383.5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6380</v>
      </c>
      <c r="E13" s="15"/>
      <c r="F13" s="15"/>
      <c r="G13" s="15">
        <f t="shared" si="0"/>
        <v>6380</v>
      </c>
      <c r="H13" s="15">
        <v>3711</v>
      </c>
      <c r="I13" s="15"/>
      <c r="J13" s="15">
        <f t="shared" si="1"/>
        <v>2669</v>
      </c>
      <c r="K13" s="15">
        <v>5000</v>
      </c>
      <c r="L13" s="15">
        <f t="shared" si="2"/>
        <v>7669</v>
      </c>
      <c r="M13" s="30" t="s">
        <v>75</v>
      </c>
      <c r="N13" s="99">
        <v>27.5</v>
      </c>
      <c r="O13" s="50">
        <f t="shared" si="3"/>
        <v>210897.5</v>
      </c>
      <c r="P13" s="50">
        <f t="shared" si="4"/>
        <v>73397.5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12143</v>
      </c>
      <c r="E14" s="15"/>
      <c r="F14" s="15"/>
      <c r="G14" s="15">
        <f t="shared" si="0"/>
        <v>12143</v>
      </c>
      <c r="H14" s="15"/>
      <c r="I14" s="16"/>
      <c r="J14" s="15">
        <f t="shared" si="1"/>
        <v>12143</v>
      </c>
      <c r="K14" s="15">
        <v>-1000</v>
      </c>
      <c r="L14" s="15">
        <f t="shared" si="2"/>
        <v>11143</v>
      </c>
      <c r="M14" s="30"/>
      <c r="N14" s="99">
        <v>59</v>
      </c>
      <c r="O14" s="50">
        <f t="shared" si="3"/>
        <v>657437</v>
      </c>
      <c r="P14" s="50">
        <f t="shared" si="4"/>
        <v>716437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20922</v>
      </c>
      <c r="E16" s="29"/>
      <c r="F16" s="15"/>
      <c r="G16" s="15">
        <f t="shared" si="0"/>
        <v>20922</v>
      </c>
      <c r="H16" s="15">
        <v>512</v>
      </c>
      <c r="I16" s="16"/>
      <c r="J16" s="15">
        <f t="shared" si="1"/>
        <v>20410</v>
      </c>
      <c r="K16" s="15">
        <v>0</v>
      </c>
      <c r="L16" s="15">
        <f>J16+K16</f>
        <v>20410</v>
      </c>
      <c r="M16" s="30"/>
      <c r="N16" s="99">
        <v>43.25</v>
      </c>
      <c r="O16" s="50">
        <f t="shared" si="3"/>
        <v>882732.5</v>
      </c>
      <c r="P16" s="50">
        <f t="shared" si="4"/>
        <v>882732.5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7722</v>
      </c>
      <c r="E19" s="15"/>
      <c r="F19" s="15"/>
      <c r="G19" s="15">
        <f t="shared" si="0"/>
        <v>7722</v>
      </c>
      <c r="H19" s="15">
        <v>1317</v>
      </c>
      <c r="I19" s="16"/>
      <c r="J19" s="15">
        <f t="shared" si="1"/>
        <v>6405</v>
      </c>
      <c r="K19" s="15">
        <v>1000</v>
      </c>
      <c r="L19" s="15">
        <f t="shared" si="2"/>
        <v>7405</v>
      </c>
      <c r="M19" s="30"/>
      <c r="N19" s="99">
        <v>22.8</v>
      </c>
      <c r="O19" s="50">
        <f t="shared" si="3"/>
        <v>168834</v>
      </c>
      <c r="P19" s="50">
        <f t="shared" si="4"/>
        <v>146034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5902</v>
      </c>
      <c r="E20" s="15"/>
      <c r="F20" s="15"/>
      <c r="G20" s="15">
        <f t="shared" si="0"/>
        <v>5902</v>
      </c>
      <c r="H20" s="15"/>
      <c r="I20" s="16"/>
      <c r="J20" s="15">
        <f t="shared" si="1"/>
        <v>5902</v>
      </c>
      <c r="K20" s="15">
        <v>0</v>
      </c>
      <c r="L20" s="15">
        <f t="shared" si="2"/>
        <v>5902</v>
      </c>
      <c r="M20" s="30" t="s">
        <v>75</v>
      </c>
      <c r="N20" s="99">
        <v>20</v>
      </c>
      <c r="O20" s="50">
        <f t="shared" si="3"/>
        <v>118040</v>
      </c>
      <c r="P20" s="50">
        <f t="shared" si="4"/>
        <v>118040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4318</v>
      </c>
      <c r="E21" s="15"/>
      <c r="F21" s="15"/>
      <c r="G21" s="15">
        <f t="shared" si="0"/>
        <v>4318</v>
      </c>
      <c r="H21" s="15">
        <v>256</v>
      </c>
      <c r="I21" s="16"/>
      <c r="J21" s="15">
        <f t="shared" si="1"/>
        <v>4062</v>
      </c>
      <c r="K21" s="15">
        <v>0</v>
      </c>
      <c r="L21" s="15">
        <f t="shared" si="2"/>
        <v>4062</v>
      </c>
      <c r="M21" s="30"/>
      <c r="N21" s="99">
        <v>8.5</v>
      </c>
      <c r="O21" s="50">
        <f t="shared" si="3"/>
        <v>34527</v>
      </c>
      <c r="P21" s="50">
        <f t="shared" si="4"/>
        <v>34527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234918</v>
      </c>
      <c r="E22" s="15"/>
      <c r="F22" s="15"/>
      <c r="G22" s="15">
        <f t="shared" si="0"/>
        <v>234918</v>
      </c>
      <c r="H22" s="15">
        <v>1485</v>
      </c>
      <c r="I22" s="16"/>
      <c r="J22" s="15">
        <f t="shared" si="1"/>
        <v>233433</v>
      </c>
      <c r="K22" s="15">
        <v>8000</v>
      </c>
      <c r="L22" s="15">
        <f t="shared" si="2"/>
        <v>241433</v>
      </c>
      <c r="M22" s="30"/>
      <c r="N22" s="99">
        <v>8.5</v>
      </c>
      <c r="O22" s="50">
        <f t="shared" si="3"/>
        <v>2052180.5</v>
      </c>
      <c r="P22" s="50">
        <f t="shared" si="4"/>
        <v>1984180.5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7970</v>
      </c>
      <c r="E23" s="15"/>
      <c r="F23" s="15"/>
      <c r="G23" s="15">
        <f t="shared" si="0"/>
        <v>7970</v>
      </c>
      <c r="H23" s="15">
        <v>178</v>
      </c>
      <c r="I23" s="16"/>
      <c r="J23" s="15">
        <f t="shared" si="1"/>
        <v>7792</v>
      </c>
      <c r="K23" s="15">
        <v>1500</v>
      </c>
      <c r="L23" s="15">
        <f t="shared" si="2"/>
        <v>9292</v>
      </c>
      <c r="M23" s="30" t="s">
        <v>75</v>
      </c>
      <c r="N23" s="99">
        <v>82</v>
      </c>
      <c r="O23" s="50">
        <f t="shared" si="3"/>
        <v>761944</v>
      </c>
      <c r="P23" s="50">
        <f t="shared" si="4"/>
        <v>638944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12038</v>
      </c>
      <c r="E24" s="29"/>
      <c r="F24" s="29"/>
      <c r="G24" s="15">
        <f t="shared" si="0"/>
        <v>12038</v>
      </c>
      <c r="H24" s="15"/>
      <c r="I24" s="16"/>
      <c r="J24" s="15">
        <f t="shared" si="1"/>
        <v>12038</v>
      </c>
      <c r="K24" s="15">
        <v>2713</v>
      </c>
      <c r="L24" s="15">
        <f t="shared" si="2"/>
        <v>14751</v>
      </c>
      <c r="M24" s="30"/>
      <c r="N24" s="99">
        <v>22.1</v>
      </c>
      <c r="O24" s="50">
        <f t="shared" si="3"/>
        <v>325997.10000000003</v>
      </c>
      <c r="P24" s="50">
        <f t="shared" si="4"/>
        <v>266039.8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1352</v>
      </c>
      <c r="E26" s="15"/>
      <c r="F26" s="15"/>
      <c r="G26" s="15">
        <f t="shared" si="0"/>
        <v>1352</v>
      </c>
      <c r="H26" s="15">
        <v>446</v>
      </c>
      <c r="I26" s="16"/>
      <c r="J26" s="76">
        <f t="shared" si="1"/>
        <v>906</v>
      </c>
      <c r="K26" s="76">
        <v>0</v>
      </c>
      <c r="L26" s="76">
        <f t="shared" si="2"/>
        <v>906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14650</v>
      </c>
      <c r="E32" s="15"/>
      <c r="F32" s="15"/>
      <c r="G32" s="15">
        <f t="shared" si="0"/>
        <v>14650</v>
      </c>
      <c r="H32" s="15">
        <v>1695</v>
      </c>
      <c r="I32" s="16"/>
      <c r="J32" s="76">
        <f t="shared" si="1"/>
        <v>12955</v>
      </c>
      <c r="K32" s="76"/>
      <c r="L32" s="76">
        <f t="shared" si="2"/>
        <v>12955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14692</v>
      </c>
      <c r="E33" s="15"/>
      <c r="F33" s="15"/>
      <c r="G33" s="15">
        <f t="shared" si="0"/>
        <v>14692</v>
      </c>
      <c r="H33" s="15">
        <v>219</v>
      </c>
      <c r="I33" s="16"/>
      <c r="J33" s="76">
        <f t="shared" si="1"/>
        <v>14473</v>
      </c>
      <c r="K33" s="76">
        <v>206</v>
      </c>
      <c r="L33" s="76">
        <f t="shared" si="2"/>
        <v>14679</v>
      </c>
      <c r="M33" s="30"/>
      <c r="N33" s="99">
        <v>12.49</v>
      </c>
      <c r="O33" s="50">
        <f t="shared" si="3"/>
        <v>183340.71</v>
      </c>
      <c r="P33" s="50">
        <f t="shared" si="4"/>
        <v>180767.77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185</v>
      </c>
      <c r="E34" s="15"/>
      <c r="F34" s="15"/>
      <c r="G34" s="15">
        <f t="shared" si="0"/>
        <v>185</v>
      </c>
      <c r="H34" s="15"/>
      <c r="I34" s="16"/>
      <c r="J34" s="76">
        <f t="shared" si="1"/>
        <v>185</v>
      </c>
      <c r="K34" s="76">
        <v>-50</v>
      </c>
      <c r="L34" s="76">
        <f t="shared" si="2"/>
        <v>135</v>
      </c>
      <c r="M34" s="77"/>
      <c r="N34" s="99">
        <v>435</v>
      </c>
      <c r="O34" s="50">
        <f t="shared" si="3"/>
        <v>58725</v>
      </c>
      <c r="P34" s="50">
        <f t="shared" si="4"/>
        <v>80475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125</v>
      </c>
      <c r="E35" s="15"/>
      <c r="F35" s="15"/>
      <c r="G35" s="15">
        <f t="shared" si="0"/>
        <v>125</v>
      </c>
      <c r="H35" s="15"/>
      <c r="I35" s="16"/>
      <c r="J35" s="76">
        <f>G35-H35-I35</f>
        <v>125</v>
      </c>
      <c r="K35" s="76">
        <v>-50</v>
      </c>
      <c r="L35" s="76">
        <f t="shared" si="2"/>
        <v>75</v>
      </c>
      <c r="M35" s="84"/>
      <c r="N35" s="99">
        <v>730</v>
      </c>
      <c r="O35" s="50">
        <f t="shared" si="3"/>
        <v>54750</v>
      </c>
      <c r="P35" s="50">
        <f t="shared" si="4"/>
        <v>91250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340</v>
      </c>
      <c r="E36" s="15"/>
      <c r="F36" s="15"/>
      <c r="G36" s="15">
        <f t="shared" si="0"/>
        <v>340</v>
      </c>
      <c r="H36" s="16">
        <v>2</v>
      </c>
      <c r="I36" s="16"/>
      <c r="J36" s="76">
        <f t="shared" si="1"/>
        <v>338</v>
      </c>
      <c r="K36" s="76">
        <v>-125</v>
      </c>
      <c r="L36" s="76">
        <f t="shared" si="2"/>
        <v>213</v>
      </c>
      <c r="M36" s="84"/>
      <c r="N36" s="99">
        <v>155</v>
      </c>
      <c r="O36" s="50">
        <f t="shared" si="3"/>
        <v>33015</v>
      </c>
      <c r="P36" s="50">
        <f t="shared" si="4"/>
        <v>52390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1521</v>
      </c>
      <c r="E37" s="15"/>
      <c r="F37" s="15"/>
      <c r="G37" s="15">
        <f t="shared" si="0"/>
        <v>1521</v>
      </c>
      <c r="H37" s="16">
        <v>25</v>
      </c>
      <c r="I37" s="16"/>
      <c r="J37" s="76">
        <f t="shared" si="1"/>
        <v>1496</v>
      </c>
      <c r="K37" s="76">
        <v>0</v>
      </c>
      <c r="L37" s="76">
        <f t="shared" si="2"/>
        <v>1496</v>
      </c>
      <c r="M37" s="84"/>
      <c r="N37" s="99">
        <v>125</v>
      </c>
      <c r="O37" s="50">
        <f t="shared" si="3"/>
        <v>187000</v>
      </c>
      <c r="P37" s="50">
        <f t="shared" si="4"/>
        <v>187000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199</v>
      </c>
      <c r="E39" s="15">
        <v>100</v>
      </c>
      <c r="F39" s="15"/>
      <c r="G39" s="15">
        <f t="shared" si="0"/>
        <v>299</v>
      </c>
      <c r="H39" s="16"/>
      <c r="I39" s="16"/>
      <c r="J39" s="76">
        <f t="shared" si="1"/>
        <v>299</v>
      </c>
      <c r="K39" s="76">
        <v>-70</v>
      </c>
      <c r="L39" s="76">
        <f t="shared" si="2"/>
        <v>229</v>
      </c>
      <c r="M39" s="84"/>
      <c r="N39" s="99">
        <v>975</v>
      </c>
      <c r="O39" s="50">
        <f t="shared" si="3"/>
        <v>223275</v>
      </c>
      <c r="P39" s="50">
        <f t="shared" si="4"/>
        <v>291525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700</v>
      </c>
      <c r="E41" s="15"/>
      <c r="F41" s="15"/>
      <c r="G41" s="15">
        <f t="shared" si="0"/>
        <v>700</v>
      </c>
      <c r="H41" s="16"/>
      <c r="I41" s="16"/>
      <c r="J41" s="76">
        <f t="shared" si="1"/>
        <v>700</v>
      </c>
      <c r="K41" s="76">
        <v>500</v>
      </c>
      <c r="L41" s="76">
        <f t="shared" si="2"/>
        <v>1200</v>
      </c>
      <c r="M41" s="84"/>
      <c r="N41" s="99">
        <v>125</v>
      </c>
      <c r="O41" s="50">
        <f t="shared" si="3"/>
        <v>150000</v>
      </c>
      <c r="P41" s="50">
        <f t="shared" si="4"/>
        <v>87500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16145</v>
      </c>
      <c r="E46" s="15"/>
      <c r="F46" s="15"/>
      <c r="G46" s="15">
        <f t="shared" si="0"/>
        <v>16145</v>
      </c>
      <c r="H46" s="16">
        <v>33</v>
      </c>
      <c r="I46" s="16"/>
      <c r="J46" s="76">
        <f t="shared" si="1"/>
        <v>16112</v>
      </c>
      <c r="K46" s="76">
        <v>-180</v>
      </c>
      <c r="L46" s="76">
        <f t="shared" si="2"/>
        <v>15932</v>
      </c>
      <c r="M46" s="84"/>
      <c r="N46" s="99">
        <v>275</v>
      </c>
      <c r="O46" s="50">
        <f t="shared" si="3"/>
        <v>4381300</v>
      </c>
      <c r="P46" s="50">
        <f t="shared" si="4"/>
        <v>4430800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0</v>
      </c>
      <c r="E47" s="15">
        <v>500</v>
      </c>
      <c r="F47" s="15"/>
      <c r="G47" s="15">
        <f t="shared" si="0"/>
        <v>500</v>
      </c>
      <c r="H47" s="15"/>
      <c r="I47" s="16"/>
      <c r="J47" s="76">
        <f t="shared" si="1"/>
        <v>500</v>
      </c>
      <c r="K47" s="76">
        <v>0</v>
      </c>
      <c r="L47" s="76">
        <f t="shared" si="2"/>
        <v>500</v>
      </c>
      <c r="M47" s="84"/>
      <c r="N47" s="99">
        <v>250</v>
      </c>
      <c r="O47" s="50">
        <f t="shared" si="3"/>
        <v>125000</v>
      </c>
      <c r="P47" s="50">
        <f t="shared" si="4"/>
        <v>125000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-47</v>
      </c>
      <c r="E49" s="15">
        <v>500</v>
      </c>
      <c r="F49" s="15"/>
      <c r="G49" s="15">
        <f t="shared" si="0"/>
        <v>453</v>
      </c>
      <c r="H49" s="15">
        <v>10</v>
      </c>
      <c r="I49" s="16"/>
      <c r="J49" s="76">
        <f t="shared" si="1"/>
        <v>443</v>
      </c>
      <c r="K49" s="76">
        <v>45</v>
      </c>
      <c r="L49" s="76">
        <f t="shared" si="2"/>
        <v>488</v>
      </c>
      <c r="M49" s="84"/>
      <c r="N49" s="99">
        <v>800</v>
      </c>
      <c r="O49" s="50">
        <f t="shared" si="3"/>
        <v>390400</v>
      </c>
      <c r="P49" s="50">
        <f t="shared" si="4"/>
        <v>354400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81</v>
      </c>
      <c r="E53" s="15"/>
      <c r="F53" s="15"/>
      <c r="G53" s="15">
        <f t="shared" si="0"/>
        <v>81</v>
      </c>
      <c r="H53" s="15">
        <v>1</v>
      </c>
      <c r="I53" s="20"/>
      <c r="J53" s="76">
        <f t="shared" si="1"/>
        <v>80</v>
      </c>
      <c r="K53" s="76">
        <v>0</v>
      </c>
      <c r="L53" s="76">
        <f t="shared" si="2"/>
        <v>80</v>
      </c>
      <c r="M53" s="84"/>
      <c r="N53" s="99">
        <v>1600</v>
      </c>
      <c r="O53" s="50">
        <f t="shared" si="3"/>
        <v>128000</v>
      </c>
      <c r="P53" s="50">
        <f t="shared" si="4"/>
        <v>128000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749</v>
      </c>
      <c r="E54" s="15"/>
      <c r="F54" s="15"/>
      <c r="G54" s="15">
        <f t="shared" si="0"/>
        <v>749</v>
      </c>
      <c r="H54" s="15"/>
      <c r="I54" s="16"/>
      <c r="J54" s="76">
        <f t="shared" si="1"/>
        <v>749</v>
      </c>
      <c r="K54" s="76">
        <v>-350</v>
      </c>
      <c r="L54" s="76">
        <f t="shared" si="2"/>
        <v>399</v>
      </c>
      <c r="M54" s="84"/>
      <c r="N54" s="99">
        <v>375</v>
      </c>
      <c r="O54" s="50">
        <f t="shared" si="3"/>
        <v>149625</v>
      </c>
      <c r="P54" s="50">
        <f t="shared" si="4"/>
        <v>280875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128</v>
      </c>
      <c r="E55" s="15"/>
      <c r="F55" s="15"/>
      <c r="G55" s="15">
        <f t="shared" si="0"/>
        <v>128</v>
      </c>
      <c r="H55" s="15"/>
      <c r="I55" s="21"/>
      <c r="J55" s="76">
        <f t="shared" si="1"/>
        <v>128</v>
      </c>
      <c r="K55" s="76">
        <v>9</v>
      </c>
      <c r="L55" s="76">
        <f t="shared" si="2"/>
        <v>137</v>
      </c>
      <c r="M55" s="30"/>
      <c r="N55" s="99">
        <v>425</v>
      </c>
      <c r="O55" s="50">
        <f t="shared" si="3"/>
        <v>58225</v>
      </c>
      <c r="P55" s="50">
        <f t="shared" si="4"/>
        <v>54400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306</v>
      </c>
      <c r="E56" s="15"/>
      <c r="F56" s="15"/>
      <c r="G56" s="15">
        <f t="shared" si="0"/>
        <v>306</v>
      </c>
      <c r="H56" s="15">
        <v>4</v>
      </c>
      <c r="I56" s="22"/>
      <c r="J56" s="76">
        <f t="shared" si="1"/>
        <v>302</v>
      </c>
      <c r="K56" s="76">
        <v>-200</v>
      </c>
      <c r="L56" s="76">
        <f t="shared" si="2"/>
        <v>102</v>
      </c>
      <c r="M56" s="84"/>
      <c r="N56" s="99">
        <v>390</v>
      </c>
      <c r="O56" s="50">
        <f t="shared" si="3"/>
        <v>39780</v>
      </c>
      <c r="P56" s="50">
        <f t="shared" si="4"/>
        <v>117780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-30</v>
      </c>
      <c r="E58" s="15"/>
      <c r="F58" s="15"/>
      <c r="G58" s="15">
        <f t="shared" si="0"/>
        <v>-30</v>
      </c>
      <c r="H58" s="15">
        <v>1</v>
      </c>
      <c r="I58" s="16"/>
      <c r="J58" s="76">
        <f t="shared" si="1"/>
        <v>-31</v>
      </c>
      <c r="K58" s="76">
        <v>0</v>
      </c>
      <c r="L58" s="76">
        <f t="shared" si="2"/>
        <v>-31</v>
      </c>
      <c r="M58" s="30"/>
      <c r="N58" s="99">
        <v>132</v>
      </c>
      <c r="O58" s="50">
        <f t="shared" si="3"/>
        <v>-4092</v>
      </c>
      <c r="P58" s="50">
        <f t="shared" si="4"/>
        <v>-4092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210</v>
      </c>
      <c r="E59" s="15">
        <v>200</v>
      </c>
      <c r="F59" s="15"/>
      <c r="G59" s="15">
        <f t="shared" si="0"/>
        <v>410</v>
      </c>
      <c r="H59" s="15">
        <v>9</v>
      </c>
      <c r="I59" s="16"/>
      <c r="J59" s="76">
        <f t="shared" si="1"/>
        <v>401</v>
      </c>
      <c r="K59" s="76">
        <v>0</v>
      </c>
      <c r="L59" s="76">
        <f t="shared" si="2"/>
        <v>401</v>
      </c>
      <c r="M59" s="84"/>
      <c r="N59" s="99">
        <v>570</v>
      </c>
      <c r="O59" s="50">
        <f t="shared" si="3"/>
        <v>228570</v>
      </c>
      <c r="P59" s="50">
        <f t="shared" si="4"/>
        <v>228570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5706</v>
      </c>
      <c r="E62" s="15"/>
      <c r="F62" s="15"/>
      <c r="G62" s="15">
        <f t="shared" si="0"/>
        <v>5706</v>
      </c>
      <c r="H62" s="15">
        <v>12</v>
      </c>
      <c r="I62" s="16"/>
      <c r="J62" s="76">
        <f t="shared" si="1"/>
        <v>5694</v>
      </c>
      <c r="K62" s="76">
        <v>187</v>
      </c>
      <c r="L62" s="76">
        <f t="shared" si="2"/>
        <v>5881</v>
      </c>
      <c r="M62" s="30"/>
      <c r="N62" s="99">
        <v>87.38</v>
      </c>
      <c r="O62" s="50">
        <f t="shared" si="3"/>
        <v>513881.77999999997</v>
      </c>
      <c r="P62" s="50">
        <f t="shared" si="4"/>
        <v>497541.72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12</v>
      </c>
      <c r="E63" s="15"/>
      <c r="F63" s="15"/>
      <c r="G63" s="15">
        <f t="shared" si="0"/>
        <v>12</v>
      </c>
      <c r="H63" s="15"/>
      <c r="I63" s="16"/>
      <c r="J63" s="76">
        <f t="shared" si="1"/>
        <v>12</v>
      </c>
      <c r="K63" s="76">
        <v>300</v>
      </c>
      <c r="L63" s="76">
        <f t="shared" si="2"/>
        <v>312</v>
      </c>
      <c r="M63" s="84"/>
      <c r="N63" s="99">
        <v>290</v>
      </c>
      <c r="O63" s="50">
        <f t="shared" si="3"/>
        <v>90480</v>
      </c>
      <c r="P63" s="50">
        <f t="shared" si="4"/>
        <v>3480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149</v>
      </c>
      <c r="E64" s="23"/>
      <c r="F64" s="23"/>
      <c r="G64" s="23">
        <f t="shared" si="0"/>
        <v>149</v>
      </c>
      <c r="H64" s="23">
        <v>51</v>
      </c>
      <c r="I64" s="23"/>
      <c r="J64" s="76">
        <f t="shared" si="1"/>
        <v>98</v>
      </c>
      <c r="K64" s="79">
        <v>100</v>
      </c>
      <c r="L64" s="76">
        <f t="shared" si="2"/>
        <v>198</v>
      </c>
      <c r="M64" s="30"/>
      <c r="N64" s="99">
        <v>70</v>
      </c>
      <c r="O64" s="50">
        <f t="shared" si="3"/>
        <v>13860</v>
      </c>
      <c r="P64" s="50">
        <f t="shared" si="4"/>
        <v>6860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82</v>
      </c>
      <c r="E65" s="24"/>
      <c r="F65" s="24"/>
      <c r="G65" s="16">
        <f t="shared" si="0"/>
        <v>82</v>
      </c>
      <c r="H65" s="24">
        <v>49</v>
      </c>
      <c r="I65" s="24"/>
      <c r="J65" s="76">
        <f t="shared" si="1"/>
        <v>33</v>
      </c>
      <c r="K65" s="80">
        <v>-200</v>
      </c>
      <c r="L65" s="76">
        <f t="shared" si="2"/>
        <v>-167</v>
      </c>
      <c r="M65" s="86"/>
      <c r="N65" s="99">
        <v>240</v>
      </c>
      <c r="O65" s="50">
        <f t="shared" si="3"/>
        <v>-40080</v>
      </c>
      <c r="P65" s="50">
        <f t="shared" si="4"/>
        <v>7920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334</v>
      </c>
      <c r="E66" s="24"/>
      <c r="F66" s="24"/>
      <c r="G66" s="16">
        <f t="shared" si="0"/>
        <v>334</v>
      </c>
      <c r="H66" s="24"/>
      <c r="I66" s="24"/>
      <c r="J66" s="76">
        <f t="shared" si="1"/>
        <v>334</v>
      </c>
      <c r="K66" s="81">
        <v>0</v>
      </c>
      <c r="L66" s="81">
        <f t="shared" si="2"/>
        <v>334</v>
      </c>
      <c r="M66" s="86"/>
      <c r="N66" s="99">
        <v>1100</v>
      </c>
      <c r="O66" s="50">
        <f t="shared" si="3"/>
        <v>367400</v>
      </c>
      <c r="P66" s="50">
        <f t="shared" si="4"/>
        <v>367400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-1787</v>
      </c>
      <c r="E67" s="24"/>
      <c r="F67" s="24"/>
      <c r="G67" s="16">
        <f t="shared" si="0"/>
        <v>-1787</v>
      </c>
      <c r="H67" s="24">
        <v>334</v>
      </c>
      <c r="I67" s="24"/>
      <c r="J67" s="76">
        <f t="shared" si="1"/>
        <v>-2121</v>
      </c>
      <c r="K67" s="80">
        <v>2000</v>
      </c>
      <c r="L67" s="76">
        <f t="shared" si="2"/>
        <v>-121</v>
      </c>
      <c r="M67" s="84"/>
      <c r="N67" s="99">
        <v>53</v>
      </c>
      <c r="O67" s="50">
        <f t="shared" si="3"/>
        <v>-6413</v>
      </c>
      <c r="P67" s="50">
        <f t="shared" si="4"/>
        <v>-112413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439</v>
      </c>
      <c r="E70" s="24"/>
      <c r="F70" s="24"/>
      <c r="G70" s="16">
        <f t="shared" si="0"/>
        <v>439</v>
      </c>
      <c r="H70" s="24"/>
      <c r="I70" s="24"/>
      <c r="J70" s="76">
        <f t="shared" si="1"/>
        <v>439</v>
      </c>
      <c r="K70" s="80">
        <v>-153</v>
      </c>
      <c r="L70" s="76">
        <f t="shared" si="2"/>
        <v>286</v>
      </c>
      <c r="M70" s="86"/>
      <c r="N70" s="99">
        <v>260</v>
      </c>
      <c r="O70" s="50">
        <f t="shared" si="3"/>
        <v>74360</v>
      </c>
      <c r="P70" s="50">
        <f t="shared" si="4"/>
        <v>114140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3585</v>
      </c>
      <c r="E72" s="24"/>
      <c r="F72" s="24"/>
      <c r="G72" s="16">
        <f t="shared" si="0"/>
        <v>3585</v>
      </c>
      <c r="H72" s="24">
        <v>89</v>
      </c>
      <c r="I72" s="24"/>
      <c r="J72" s="76">
        <f t="shared" si="5"/>
        <v>3496</v>
      </c>
      <c r="K72" s="80">
        <v>-200</v>
      </c>
      <c r="L72" s="76">
        <f t="shared" si="2"/>
        <v>3296</v>
      </c>
      <c r="M72" s="30"/>
      <c r="N72" s="99">
        <v>39</v>
      </c>
      <c r="O72" s="50">
        <f t="shared" si="6"/>
        <v>128544</v>
      </c>
      <c r="P72" s="50">
        <f t="shared" si="7"/>
        <v>136344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18760</v>
      </c>
      <c r="E73" s="24"/>
      <c r="F73" s="24"/>
      <c r="G73" s="16">
        <f t="shared" si="0"/>
        <v>18760</v>
      </c>
      <c r="H73" s="24">
        <v>30</v>
      </c>
      <c r="I73" s="42"/>
      <c r="J73" s="76">
        <f t="shared" si="5"/>
        <v>18730</v>
      </c>
      <c r="K73" s="80">
        <v>0</v>
      </c>
      <c r="L73" s="76">
        <f t="shared" si="2"/>
        <v>18730</v>
      </c>
      <c r="M73" s="84"/>
      <c r="N73" s="99">
        <v>83</v>
      </c>
      <c r="O73" s="50">
        <f t="shared" si="6"/>
        <v>1554590</v>
      </c>
      <c r="P73" s="50">
        <f t="shared" si="7"/>
        <v>1554590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1902</v>
      </c>
      <c r="E75" s="24"/>
      <c r="F75" s="24"/>
      <c r="G75" s="16">
        <f t="shared" si="0"/>
        <v>1902</v>
      </c>
      <c r="H75" s="24">
        <v>239</v>
      </c>
      <c r="I75" s="24"/>
      <c r="J75" s="76">
        <f t="shared" si="5"/>
        <v>1663</v>
      </c>
      <c r="K75" s="80">
        <v>273</v>
      </c>
      <c r="L75" s="76">
        <f t="shared" si="2"/>
        <v>1936</v>
      </c>
      <c r="M75" s="86"/>
      <c r="N75" s="99">
        <v>16</v>
      </c>
      <c r="O75" s="50">
        <f t="shared" si="6"/>
        <v>30976</v>
      </c>
      <c r="P75" s="50">
        <f t="shared" si="7"/>
        <v>26608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354</v>
      </c>
      <c r="E76" s="24"/>
      <c r="F76" s="24"/>
      <c r="G76" s="16">
        <f t="shared" si="0"/>
        <v>354</v>
      </c>
      <c r="H76" s="24">
        <v>6</v>
      </c>
      <c r="I76" s="24"/>
      <c r="J76" s="76">
        <f t="shared" si="5"/>
        <v>348</v>
      </c>
      <c r="K76" s="80">
        <v>-250</v>
      </c>
      <c r="L76" s="76">
        <f t="shared" si="2"/>
        <v>98</v>
      </c>
      <c r="M76" s="30"/>
      <c r="N76" s="99">
        <v>400</v>
      </c>
      <c r="O76" s="50">
        <f t="shared" si="6"/>
        <v>39200</v>
      </c>
      <c r="P76" s="50">
        <f t="shared" si="7"/>
        <v>139200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0</v>
      </c>
      <c r="E77" s="24">
        <v>500</v>
      </c>
      <c r="F77" s="24"/>
      <c r="G77" s="16">
        <f t="shared" si="0"/>
        <v>500</v>
      </c>
      <c r="H77" s="24"/>
      <c r="I77" s="24"/>
      <c r="J77" s="76">
        <f t="shared" si="5"/>
        <v>500</v>
      </c>
      <c r="K77" s="80">
        <v>7</v>
      </c>
      <c r="L77" s="76">
        <f t="shared" si="2"/>
        <v>507</v>
      </c>
      <c r="M77" s="86"/>
      <c r="N77" s="99">
        <v>480</v>
      </c>
      <c r="O77" s="50">
        <f t="shared" si="6"/>
        <v>243360</v>
      </c>
      <c r="P77" s="50">
        <f t="shared" si="7"/>
        <v>240000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335</v>
      </c>
      <c r="E78" s="24"/>
      <c r="F78" s="24"/>
      <c r="G78" s="16">
        <f t="shared" si="0"/>
        <v>335</v>
      </c>
      <c r="H78" s="24">
        <v>3</v>
      </c>
      <c r="I78" s="24"/>
      <c r="J78" s="76">
        <f t="shared" si="5"/>
        <v>332</v>
      </c>
      <c r="K78" s="80">
        <v>100</v>
      </c>
      <c r="L78" s="76">
        <f t="shared" si="2"/>
        <v>432</v>
      </c>
      <c r="M78" s="86"/>
      <c r="N78" s="99">
        <v>900</v>
      </c>
      <c r="O78" s="50">
        <f t="shared" si="6"/>
        <v>388800</v>
      </c>
      <c r="P78" s="50">
        <f t="shared" si="7"/>
        <v>298800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5179</v>
      </c>
      <c r="E83" s="98"/>
      <c r="F83" s="24"/>
      <c r="G83" s="16">
        <f t="shared" si="8"/>
        <v>5179</v>
      </c>
      <c r="H83" s="24"/>
      <c r="I83" s="95"/>
      <c r="J83" s="76">
        <f t="shared" si="5"/>
        <v>5179</v>
      </c>
      <c r="K83" s="81">
        <v>0</v>
      </c>
      <c r="L83" s="76">
        <f t="shared" si="2"/>
        <v>5179</v>
      </c>
      <c r="M83" s="85"/>
      <c r="N83" s="100">
        <v>64</v>
      </c>
      <c r="O83" s="50">
        <f t="shared" si="6"/>
        <v>331456</v>
      </c>
      <c r="P83" s="50">
        <f t="shared" si="7"/>
        <v>331456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18</v>
      </c>
      <c r="E84" s="89"/>
      <c r="F84" s="12"/>
      <c r="G84" s="45">
        <f t="shared" si="8"/>
        <v>18</v>
      </c>
      <c r="H84" s="12"/>
      <c r="I84" s="94"/>
      <c r="J84" s="82">
        <f t="shared" ref="J84:J97" si="9">D84+E84-H84-I84</f>
        <v>18</v>
      </c>
      <c r="K84" s="96">
        <v>0</v>
      </c>
      <c r="L84" s="82">
        <f t="shared" si="2"/>
        <v>18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/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463</v>
      </c>
      <c r="E86" s="90"/>
      <c r="F86" s="11"/>
      <c r="G86" s="16">
        <f t="shared" si="8"/>
        <v>463</v>
      </c>
      <c r="H86" s="88">
        <v>15</v>
      </c>
      <c r="I86" s="11"/>
      <c r="J86" s="76">
        <f t="shared" si="9"/>
        <v>448</v>
      </c>
      <c r="K86" s="97">
        <v>300</v>
      </c>
      <c r="L86" s="76">
        <f t="shared" si="2"/>
        <v>748</v>
      </c>
      <c r="M86" s="84"/>
      <c r="N86" s="99">
        <v>165</v>
      </c>
      <c r="O86" s="50">
        <f t="shared" si="6"/>
        <v>123420</v>
      </c>
      <c r="P86" s="50">
        <f t="shared" si="7"/>
        <v>73920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265</v>
      </c>
      <c r="E87" s="11"/>
      <c r="F87" s="11"/>
      <c r="G87" s="16">
        <f t="shared" si="8"/>
        <v>265</v>
      </c>
      <c r="H87" s="88"/>
      <c r="I87" s="11"/>
      <c r="J87" s="76">
        <f t="shared" si="9"/>
        <v>265</v>
      </c>
      <c r="K87" s="97">
        <v>-1</v>
      </c>
      <c r="L87" s="76">
        <f t="shared" si="2"/>
        <v>264</v>
      </c>
      <c r="M87" s="86"/>
      <c r="N87" s="99">
        <v>630</v>
      </c>
      <c r="O87" s="50">
        <f t="shared" si="6"/>
        <v>166320</v>
      </c>
      <c r="P87" s="50">
        <f t="shared" si="7"/>
        <v>166950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30</v>
      </c>
      <c r="E88" s="11"/>
      <c r="F88" s="11"/>
      <c r="G88" s="16">
        <f t="shared" si="8"/>
        <v>30</v>
      </c>
      <c r="H88" s="88"/>
      <c r="I88" s="11"/>
      <c r="J88" s="76">
        <f t="shared" si="9"/>
        <v>30</v>
      </c>
      <c r="K88" s="97">
        <v>0</v>
      </c>
      <c r="L88" s="76">
        <f t="shared" ref="L88:L97" si="10">J88+K88</f>
        <v>30</v>
      </c>
      <c r="M88" s="86"/>
      <c r="N88" s="99">
        <v>285</v>
      </c>
      <c r="O88" s="50">
        <f t="shared" si="6"/>
        <v>8550</v>
      </c>
      <c r="P88" s="50">
        <f t="shared" si="7"/>
        <v>8550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473</v>
      </c>
      <c r="E92" s="88"/>
      <c r="F92" s="11"/>
      <c r="G92" s="16">
        <f t="shared" si="8"/>
        <v>473</v>
      </c>
      <c r="H92" s="88">
        <v>5</v>
      </c>
      <c r="I92" s="11"/>
      <c r="J92" s="83">
        <f t="shared" si="9"/>
        <v>468</v>
      </c>
      <c r="K92" s="97">
        <v>0</v>
      </c>
      <c r="L92" s="76">
        <f t="shared" si="10"/>
        <v>468</v>
      </c>
      <c r="M92" s="86"/>
      <c r="N92" s="99">
        <v>113</v>
      </c>
      <c r="O92" s="50">
        <f t="shared" si="6"/>
        <v>52884</v>
      </c>
      <c r="P92" s="50">
        <f t="shared" si="7"/>
        <v>52884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262</v>
      </c>
      <c r="E94" s="88"/>
      <c r="F94" s="11"/>
      <c r="G94" s="16">
        <f t="shared" si="8"/>
        <v>262</v>
      </c>
      <c r="H94" s="88">
        <v>3</v>
      </c>
      <c r="I94" s="11"/>
      <c r="J94" s="83">
        <f t="shared" si="9"/>
        <v>259</v>
      </c>
      <c r="K94" s="97">
        <v>-50</v>
      </c>
      <c r="L94" s="76">
        <f t="shared" si="10"/>
        <v>209</v>
      </c>
      <c r="M94" s="86"/>
      <c r="N94" s="99">
        <v>950</v>
      </c>
      <c r="O94" s="50">
        <f t="shared" si="6"/>
        <v>198550</v>
      </c>
      <c r="P94" s="50">
        <f t="shared" si="7"/>
        <v>246050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1411148.2549999999</v>
      </c>
      <c r="E98" s="27">
        <f t="shared" ref="E98:L98" si="11">SUM(E6:E97)</f>
        <v>92164</v>
      </c>
      <c r="F98" s="27">
        <f t="shared" si="11"/>
        <v>0</v>
      </c>
      <c r="G98" s="27">
        <f t="shared" si="11"/>
        <v>1503312.2549999999</v>
      </c>
      <c r="H98" s="27">
        <f t="shared" si="11"/>
        <v>38311</v>
      </c>
      <c r="I98" s="27">
        <f t="shared" si="11"/>
        <v>0</v>
      </c>
      <c r="J98" s="27">
        <f t="shared" si="11"/>
        <v>1465001.2549999999</v>
      </c>
      <c r="K98" s="27">
        <f t="shared" si="11"/>
        <v>-576792</v>
      </c>
      <c r="L98" s="27">
        <f t="shared" si="11"/>
        <v>888209.25499999989</v>
      </c>
      <c r="M98" s="27">
        <f>SUM(M6:M96)</f>
        <v>0</v>
      </c>
      <c r="N98" s="51"/>
      <c r="O98" s="51">
        <f t="shared" ref="O98" si="12">SUM(O6:O97)</f>
        <v>33082411.930000003</v>
      </c>
      <c r="P98" s="51">
        <f>SUM(P6:P97)</f>
        <v>45351862.630000003</v>
      </c>
      <c r="Q98" s="57">
        <f>O98-P98</f>
        <v>-12269450.699999999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5" t="s">
        <v>115</v>
      </c>
      <c r="M100" s="115"/>
      <c r="O100" s="55" t="s">
        <v>110</v>
      </c>
      <c r="P100" s="54">
        <v>79909923</v>
      </c>
    </row>
    <row r="101" spans="1:22">
      <c r="P101" s="54">
        <f>P100-P98</f>
        <v>34558060.369999997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8" activePane="bottomLeft" state="frozen"/>
      <selection pane="bottomLeft" activeCell="Q24" sqref="Q24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150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48969</v>
      </c>
      <c r="E6" s="15">
        <v>35258</v>
      </c>
      <c r="F6" s="16"/>
      <c r="G6" s="15">
        <f>D6+E6-F6</f>
        <v>84227</v>
      </c>
      <c r="H6" s="15">
        <v>29706</v>
      </c>
      <c r="I6" s="16"/>
      <c r="J6" s="15">
        <f>G6-H6-I6</f>
        <v>54521</v>
      </c>
      <c r="K6" s="15">
        <v>8000</v>
      </c>
      <c r="L6" s="15">
        <f>J6+K6</f>
        <v>62521</v>
      </c>
      <c r="M6" s="30" t="s">
        <v>75</v>
      </c>
      <c r="N6" s="99">
        <v>21.5</v>
      </c>
      <c r="O6" s="50">
        <f>L6*N6</f>
        <v>1344201.5</v>
      </c>
      <c r="P6" s="50">
        <f>J6*N6</f>
        <v>1172201.5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90122</v>
      </c>
      <c r="E7" s="15">
        <v>14961</v>
      </c>
      <c r="F7" s="15"/>
      <c r="G7" s="15">
        <f t="shared" ref="G7:G80" si="0">D7+E7-F7</f>
        <v>105083</v>
      </c>
      <c r="H7" s="15">
        <v>12555</v>
      </c>
      <c r="I7" s="15"/>
      <c r="J7" s="15">
        <f t="shared" ref="J7:J70" si="1">G7-H7-I7</f>
        <v>92528</v>
      </c>
      <c r="K7" s="15">
        <v>-5000</v>
      </c>
      <c r="L7" s="15">
        <f t="shared" ref="L7:L87" si="2">J7+K7</f>
        <v>87528</v>
      </c>
      <c r="M7" s="30"/>
      <c r="N7" s="99">
        <v>38</v>
      </c>
      <c r="O7" s="50">
        <f t="shared" ref="O7:O70" si="3">L7*N7</f>
        <v>3326064</v>
      </c>
      <c r="P7" s="50">
        <f t="shared" ref="P7:P70" si="4">J7*N7</f>
        <v>3516064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76090</v>
      </c>
      <c r="E8" s="15">
        <v>14881</v>
      </c>
      <c r="F8" s="15"/>
      <c r="G8" s="15">
        <f t="shared" si="0"/>
        <v>90971</v>
      </c>
      <c r="H8" s="15">
        <v>1745</v>
      </c>
      <c r="I8" s="15"/>
      <c r="J8" s="15">
        <f t="shared" si="1"/>
        <v>89226</v>
      </c>
      <c r="K8" s="15">
        <v>0</v>
      </c>
      <c r="L8" s="15">
        <f t="shared" si="2"/>
        <v>89226</v>
      </c>
      <c r="M8" s="30"/>
      <c r="N8" s="99">
        <v>12</v>
      </c>
      <c r="O8" s="50">
        <f t="shared" si="3"/>
        <v>1070712</v>
      </c>
      <c r="P8" s="50">
        <f t="shared" si="4"/>
        <v>1070712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811513</v>
      </c>
      <c r="E10" s="15"/>
      <c r="F10" s="15"/>
      <c r="G10" s="15">
        <f t="shared" si="0"/>
        <v>811513</v>
      </c>
      <c r="H10" s="15">
        <v>3252</v>
      </c>
      <c r="I10" s="15"/>
      <c r="J10" s="15">
        <f t="shared" si="1"/>
        <v>808261</v>
      </c>
      <c r="K10" s="15">
        <v>-607000</v>
      </c>
      <c r="L10" s="15">
        <f t="shared" si="2"/>
        <v>201261</v>
      </c>
      <c r="M10" s="30"/>
      <c r="N10" s="99">
        <v>23.09</v>
      </c>
      <c r="O10" s="50">
        <f t="shared" si="3"/>
        <v>4647116.49</v>
      </c>
      <c r="P10" s="50">
        <f t="shared" si="4"/>
        <v>18662746.489999998</v>
      </c>
      <c r="Q10" s="43">
        <f>O10-P10</f>
        <v>-14015629.999999998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13599</v>
      </c>
      <c r="E11" s="15"/>
      <c r="F11" s="15"/>
      <c r="G11" s="15">
        <f t="shared" si="0"/>
        <v>13599</v>
      </c>
      <c r="H11" s="15">
        <v>1385</v>
      </c>
      <c r="I11" s="15"/>
      <c r="J11" s="15">
        <f t="shared" si="1"/>
        <v>12214</v>
      </c>
      <c r="K11" s="15">
        <v>2000</v>
      </c>
      <c r="L11" s="15">
        <f t="shared" si="2"/>
        <v>14214</v>
      </c>
      <c r="M11" s="30" t="s">
        <v>75</v>
      </c>
      <c r="N11" s="99">
        <v>16.5</v>
      </c>
      <c r="O11" s="50">
        <f t="shared" si="3"/>
        <v>234531</v>
      </c>
      <c r="P11" s="50">
        <f t="shared" si="4"/>
        <v>201531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2669</v>
      </c>
      <c r="E13" s="15"/>
      <c r="F13" s="15"/>
      <c r="G13" s="15">
        <f t="shared" si="0"/>
        <v>2669</v>
      </c>
      <c r="H13" s="15">
        <v>1639</v>
      </c>
      <c r="I13" s="15"/>
      <c r="J13" s="15">
        <f t="shared" si="1"/>
        <v>1030</v>
      </c>
      <c r="K13" s="15">
        <v>5000</v>
      </c>
      <c r="L13" s="15">
        <f t="shared" si="2"/>
        <v>6030</v>
      </c>
      <c r="M13" s="30" t="s">
        <v>75</v>
      </c>
      <c r="N13" s="99">
        <v>27.5</v>
      </c>
      <c r="O13" s="50">
        <f t="shared" si="3"/>
        <v>165825</v>
      </c>
      <c r="P13" s="50">
        <f t="shared" si="4"/>
        <v>28325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12143</v>
      </c>
      <c r="E14" s="15"/>
      <c r="F14" s="15"/>
      <c r="G14" s="15">
        <f t="shared" si="0"/>
        <v>12143</v>
      </c>
      <c r="H14" s="15">
        <v>231</v>
      </c>
      <c r="I14" s="16"/>
      <c r="J14" s="15">
        <f t="shared" si="1"/>
        <v>11912</v>
      </c>
      <c r="K14" s="15">
        <v>-1000</v>
      </c>
      <c r="L14" s="15">
        <f t="shared" si="2"/>
        <v>10912</v>
      </c>
      <c r="M14" s="30"/>
      <c r="N14" s="99">
        <v>59</v>
      </c>
      <c r="O14" s="50">
        <f t="shared" si="3"/>
        <v>643808</v>
      </c>
      <c r="P14" s="50">
        <f t="shared" si="4"/>
        <v>702808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20410</v>
      </c>
      <c r="E16" s="29"/>
      <c r="F16" s="15"/>
      <c r="G16" s="15">
        <f t="shared" si="0"/>
        <v>20410</v>
      </c>
      <c r="H16" s="15">
        <v>1722</v>
      </c>
      <c r="I16" s="16"/>
      <c r="J16" s="15">
        <f t="shared" si="1"/>
        <v>18688</v>
      </c>
      <c r="K16" s="15">
        <v>0</v>
      </c>
      <c r="L16" s="15">
        <f>J16+K16</f>
        <v>18688</v>
      </c>
      <c r="M16" s="30"/>
      <c r="N16" s="99">
        <v>43.25</v>
      </c>
      <c r="O16" s="50">
        <f t="shared" si="3"/>
        <v>808256</v>
      </c>
      <c r="P16" s="50">
        <f t="shared" si="4"/>
        <v>808256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6405</v>
      </c>
      <c r="E19" s="15"/>
      <c r="F19" s="15"/>
      <c r="G19" s="15">
        <f t="shared" si="0"/>
        <v>6405</v>
      </c>
      <c r="H19" s="15">
        <v>810</v>
      </c>
      <c r="I19" s="16"/>
      <c r="J19" s="15">
        <f t="shared" si="1"/>
        <v>5595</v>
      </c>
      <c r="K19" s="15">
        <v>1000</v>
      </c>
      <c r="L19" s="15">
        <f t="shared" si="2"/>
        <v>6595</v>
      </c>
      <c r="M19" s="30"/>
      <c r="N19" s="99">
        <v>22.8</v>
      </c>
      <c r="O19" s="50">
        <f t="shared" si="3"/>
        <v>150366</v>
      </c>
      <c r="P19" s="50">
        <f t="shared" si="4"/>
        <v>127566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5902</v>
      </c>
      <c r="E20" s="15"/>
      <c r="F20" s="15"/>
      <c r="G20" s="15">
        <f t="shared" si="0"/>
        <v>5902</v>
      </c>
      <c r="H20" s="15">
        <v>242</v>
      </c>
      <c r="I20" s="16"/>
      <c r="J20" s="15">
        <f t="shared" si="1"/>
        <v>5660</v>
      </c>
      <c r="K20" s="15">
        <v>0</v>
      </c>
      <c r="L20" s="15">
        <f t="shared" si="2"/>
        <v>5660</v>
      </c>
      <c r="M20" s="30" t="s">
        <v>75</v>
      </c>
      <c r="N20" s="99">
        <v>20</v>
      </c>
      <c r="O20" s="50">
        <f t="shared" si="3"/>
        <v>113200</v>
      </c>
      <c r="P20" s="50">
        <f t="shared" si="4"/>
        <v>113200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4062</v>
      </c>
      <c r="E21" s="15"/>
      <c r="F21" s="15"/>
      <c r="G21" s="15">
        <f t="shared" si="0"/>
        <v>4062</v>
      </c>
      <c r="H21" s="15">
        <v>519</v>
      </c>
      <c r="I21" s="16"/>
      <c r="J21" s="15">
        <f t="shared" si="1"/>
        <v>3543</v>
      </c>
      <c r="K21" s="15">
        <v>0</v>
      </c>
      <c r="L21" s="15">
        <f t="shared" si="2"/>
        <v>3543</v>
      </c>
      <c r="M21" s="30"/>
      <c r="N21" s="99">
        <v>8.5</v>
      </c>
      <c r="O21" s="50">
        <f t="shared" si="3"/>
        <v>30115.5</v>
      </c>
      <c r="P21" s="50">
        <f t="shared" si="4"/>
        <v>30115.5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233433</v>
      </c>
      <c r="E22" s="15"/>
      <c r="F22" s="15"/>
      <c r="G22" s="15">
        <f t="shared" si="0"/>
        <v>233433</v>
      </c>
      <c r="H22" s="15">
        <v>2150</v>
      </c>
      <c r="I22" s="16"/>
      <c r="J22" s="15">
        <f t="shared" si="1"/>
        <v>231283</v>
      </c>
      <c r="K22" s="15">
        <v>8000</v>
      </c>
      <c r="L22" s="15">
        <f t="shared" si="2"/>
        <v>239283</v>
      </c>
      <c r="M22" s="30"/>
      <c r="N22" s="99">
        <v>8.5</v>
      </c>
      <c r="O22" s="50">
        <f t="shared" si="3"/>
        <v>2033905.5</v>
      </c>
      <c r="P22" s="50">
        <f t="shared" si="4"/>
        <v>1965905.5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7792</v>
      </c>
      <c r="E23" s="15"/>
      <c r="F23" s="15"/>
      <c r="G23" s="15">
        <f t="shared" si="0"/>
        <v>7792</v>
      </c>
      <c r="H23" s="15">
        <v>1076</v>
      </c>
      <c r="I23" s="16"/>
      <c r="J23" s="15">
        <f t="shared" si="1"/>
        <v>6716</v>
      </c>
      <c r="K23" s="15">
        <v>1500</v>
      </c>
      <c r="L23" s="15">
        <f t="shared" si="2"/>
        <v>8216</v>
      </c>
      <c r="M23" s="30" t="s">
        <v>75</v>
      </c>
      <c r="N23" s="99">
        <v>82</v>
      </c>
      <c r="O23" s="50">
        <f t="shared" si="3"/>
        <v>673712</v>
      </c>
      <c r="P23" s="50">
        <f t="shared" si="4"/>
        <v>550712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12038</v>
      </c>
      <c r="E24" s="29"/>
      <c r="F24" s="29"/>
      <c r="G24" s="15">
        <f t="shared" si="0"/>
        <v>12038</v>
      </c>
      <c r="H24" s="15">
        <v>750</v>
      </c>
      <c r="I24" s="16"/>
      <c r="J24" s="15">
        <f t="shared" si="1"/>
        <v>11288</v>
      </c>
      <c r="K24" s="15">
        <v>2713</v>
      </c>
      <c r="L24" s="15">
        <f t="shared" si="2"/>
        <v>14001</v>
      </c>
      <c r="M24" s="30"/>
      <c r="N24" s="99">
        <v>22.1</v>
      </c>
      <c r="O24" s="50">
        <f t="shared" si="3"/>
        <v>309422.10000000003</v>
      </c>
      <c r="P24" s="50">
        <f t="shared" si="4"/>
        <v>249464.80000000002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906</v>
      </c>
      <c r="E26" s="15"/>
      <c r="F26" s="15"/>
      <c r="G26" s="15">
        <f t="shared" si="0"/>
        <v>906</v>
      </c>
      <c r="H26" s="15">
        <v>730</v>
      </c>
      <c r="I26" s="16"/>
      <c r="J26" s="76">
        <f t="shared" si="1"/>
        <v>176</v>
      </c>
      <c r="K26" s="76">
        <v>0</v>
      </c>
      <c r="L26" s="76">
        <f t="shared" si="2"/>
        <v>176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12955</v>
      </c>
      <c r="E32" s="15"/>
      <c r="F32" s="15"/>
      <c r="G32" s="15">
        <f t="shared" si="0"/>
        <v>12955</v>
      </c>
      <c r="H32" s="15">
        <v>5221</v>
      </c>
      <c r="I32" s="16"/>
      <c r="J32" s="76">
        <f t="shared" si="1"/>
        <v>7734</v>
      </c>
      <c r="K32" s="76"/>
      <c r="L32" s="76">
        <f t="shared" si="2"/>
        <v>7734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14473</v>
      </c>
      <c r="E33" s="15"/>
      <c r="F33" s="15"/>
      <c r="G33" s="15">
        <f t="shared" si="0"/>
        <v>14473</v>
      </c>
      <c r="H33" s="15">
        <v>233</v>
      </c>
      <c r="I33" s="16"/>
      <c r="J33" s="76">
        <f t="shared" si="1"/>
        <v>14240</v>
      </c>
      <c r="K33" s="76">
        <v>206</v>
      </c>
      <c r="L33" s="76">
        <f t="shared" si="2"/>
        <v>14446</v>
      </c>
      <c r="M33" s="30"/>
      <c r="N33" s="99">
        <v>12.49</v>
      </c>
      <c r="O33" s="50">
        <f t="shared" si="3"/>
        <v>180430.54</v>
      </c>
      <c r="P33" s="50">
        <f t="shared" si="4"/>
        <v>177857.6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185</v>
      </c>
      <c r="E34" s="15"/>
      <c r="F34" s="15"/>
      <c r="G34" s="15">
        <f t="shared" si="0"/>
        <v>185</v>
      </c>
      <c r="H34" s="15">
        <v>12</v>
      </c>
      <c r="I34" s="16"/>
      <c r="J34" s="76">
        <f t="shared" si="1"/>
        <v>173</v>
      </c>
      <c r="K34" s="76">
        <v>-50</v>
      </c>
      <c r="L34" s="76">
        <f t="shared" si="2"/>
        <v>123</v>
      </c>
      <c r="M34" s="77"/>
      <c r="N34" s="99">
        <v>435</v>
      </c>
      <c r="O34" s="50">
        <f t="shared" si="3"/>
        <v>53505</v>
      </c>
      <c r="P34" s="50">
        <f t="shared" si="4"/>
        <v>75255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125</v>
      </c>
      <c r="E35" s="15"/>
      <c r="F35" s="15"/>
      <c r="G35" s="15">
        <f t="shared" si="0"/>
        <v>125</v>
      </c>
      <c r="H35" s="15">
        <v>8</v>
      </c>
      <c r="I35" s="16"/>
      <c r="J35" s="76">
        <f>G35-H35-I35</f>
        <v>117</v>
      </c>
      <c r="K35" s="76">
        <v>-50</v>
      </c>
      <c r="L35" s="76">
        <f t="shared" si="2"/>
        <v>67</v>
      </c>
      <c r="M35" s="84"/>
      <c r="N35" s="99">
        <v>730</v>
      </c>
      <c r="O35" s="50">
        <f t="shared" si="3"/>
        <v>48910</v>
      </c>
      <c r="P35" s="50">
        <f t="shared" si="4"/>
        <v>85410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338</v>
      </c>
      <c r="E36" s="15"/>
      <c r="F36" s="15"/>
      <c r="G36" s="15">
        <f t="shared" si="0"/>
        <v>338</v>
      </c>
      <c r="H36" s="16">
        <v>4</v>
      </c>
      <c r="I36" s="16"/>
      <c r="J36" s="76">
        <f t="shared" si="1"/>
        <v>334</v>
      </c>
      <c r="K36" s="76">
        <v>-125</v>
      </c>
      <c r="L36" s="76">
        <f t="shared" si="2"/>
        <v>209</v>
      </c>
      <c r="M36" s="84"/>
      <c r="N36" s="99">
        <v>155</v>
      </c>
      <c r="O36" s="50">
        <f t="shared" si="3"/>
        <v>32395</v>
      </c>
      <c r="P36" s="50">
        <f t="shared" si="4"/>
        <v>51770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1496</v>
      </c>
      <c r="E37" s="15"/>
      <c r="F37" s="15"/>
      <c r="G37" s="15">
        <f t="shared" si="0"/>
        <v>1496</v>
      </c>
      <c r="H37" s="16">
        <v>77</v>
      </c>
      <c r="I37" s="16"/>
      <c r="J37" s="76">
        <f t="shared" si="1"/>
        <v>1419</v>
      </c>
      <c r="K37" s="76">
        <v>0</v>
      </c>
      <c r="L37" s="76">
        <f t="shared" si="2"/>
        <v>1419</v>
      </c>
      <c r="M37" s="84"/>
      <c r="N37" s="99">
        <v>125</v>
      </c>
      <c r="O37" s="50">
        <f t="shared" si="3"/>
        <v>177375</v>
      </c>
      <c r="P37" s="50">
        <f t="shared" si="4"/>
        <v>177375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299</v>
      </c>
      <c r="E39" s="15"/>
      <c r="F39" s="15"/>
      <c r="G39" s="15">
        <f t="shared" si="0"/>
        <v>299</v>
      </c>
      <c r="H39" s="16">
        <v>10</v>
      </c>
      <c r="I39" s="16"/>
      <c r="J39" s="76">
        <f t="shared" si="1"/>
        <v>289</v>
      </c>
      <c r="K39" s="76">
        <v>-70</v>
      </c>
      <c r="L39" s="76">
        <f t="shared" si="2"/>
        <v>219</v>
      </c>
      <c r="M39" s="84"/>
      <c r="N39" s="99">
        <v>975</v>
      </c>
      <c r="O39" s="50">
        <f t="shared" si="3"/>
        <v>213525</v>
      </c>
      <c r="P39" s="50">
        <f t="shared" si="4"/>
        <v>281775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700</v>
      </c>
      <c r="E41" s="15"/>
      <c r="F41" s="15"/>
      <c r="G41" s="15">
        <f t="shared" si="0"/>
        <v>700</v>
      </c>
      <c r="H41" s="16">
        <v>14</v>
      </c>
      <c r="I41" s="16"/>
      <c r="J41" s="76">
        <f t="shared" si="1"/>
        <v>686</v>
      </c>
      <c r="K41" s="76">
        <v>500</v>
      </c>
      <c r="L41" s="76">
        <f t="shared" si="2"/>
        <v>1186</v>
      </c>
      <c r="M41" s="84"/>
      <c r="N41" s="99">
        <v>125</v>
      </c>
      <c r="O41" s="50">
        <f t="shared" si="3"/>
        <v>148250</v>
      </c>
      <c r="P41" s="50">
        <f t="shared" si="4"/>
        <v>85750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16112</v>
      </c>
      <c r="E46" s="15"/>
      <c r="F46" s="15"/>
      <c r="G46" s="15">
        <f t="shared" si="0"/>
        <v>16112</v>
      </c>
      <c r="H46" s="16">
        <v>123</v>
      </c>
      <c r="I46" s="16"/>
      <c r="J46" s="76">
        <f t="shared" si="1"/>
        <v>15989</v>
      </c>
      <c r="K46" s="76">
        <v>-180</v>
      </c>
      <c r="L46" s="76">
        <f t="shared" si="2"/>
        <v>15809</v>
      </c>
      <c r="M46" s="84"/>
      <c r="N46" s="99">
        <v>275</v>
      </c>
      <c r="O46" s="50">
        <f t="shared" si="3"/>
        <v>4347475</v>
      </c>
      <c r="P46" s="50">
        <f t="shared" si="4"/>
        <v>4396975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500</v>
      </c>
      <c r="E47" s="15"/>
      <c r="F47" s="15"/>
      <c r="G47" s="15">
        <f t="shared" si="0"/>
        <v>500</v>
      </c>
      <c r="H47" s="15"/>
      <c r="I47" s="16"/>
      <c r="J47" s="76">
        <f t="shared" si="1"/>
        <v>500</v>
      </c>
      <c r="K47" s="76">
        <v>0</v>
      </c>
      <c r="L47" s="76">
        <f t="shared" si="2"/>
        <v>500</v>
      </c>
      <c r="M47" s="84"/>
      <c r="N47" s="99">
        <v>250</v>
      </c>
      <c r="O47" s="50">
        <f t="shared" si="3"/>
        <v>125000</v>
      </c>
      <c r="P47" s="50">
        <f t="shared" si="4"/>
        <v>125000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443</v>
      </c>
      <c r="E49" s="15"/>
      <c r="F49" s="15"/>
      <c r="G49" s="15">
        <f t="shared" si="0"/>
        <v>443</v>
      </c>
      <c r="H49" s="15">
        <v>31</v>
      </c>
      <c r="I49" s="16"/>
      <c r="J49" s="76">
        <f t="shared" si="1"/>
        <v>412</v>
      </c>
      <c r="K49" s="76">
        <v>45</v>
      </c>
      <c r="L49" s="76">
        <f t="shared" si="2"/>
        <v>457</v>
      </c>
      <c r="M49" s="84"/>
      <c r="N49" s="99">
        <v>800</v>
      </c>
      <c r="O49" s="50">
        <f t="shared" si="3"/>
        <v>365600</v>
      </c>
      <c r="P49" s="50">
        <f t="shared" si="4"/>
        <v>329600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80</v>
      </c>
      <c r="E53" s="15"/>
      <c r="F53" s="15"/>
      <c r="G53" s="15">
        <f t="shared" si="0"/>
        <v>80</v>
      </c>
      <c r="H53" s="15">
        <v>2</v>
      </c>
      <c r="I53" s="20"/>
      <c r="J53" s="76">
        <f t="shared" si="1"/>
        <v>78</v>
      </c>
      <c r="K53" s="76">
        <v>0</v>
      </c>
      <c r="L53" s="76">
        <f t="shared" si="2"/>
        <v>78</v>
      </c>
      <c r="M53" s="84"/>
      <c r="N53" s="99">
        <v>1600</v>
      </c>
      <c r="O53" s="50">
        <f t="shared" si="3"/>
        <v>124800</v>
      </c>
      <c r="P53" s="50">
        <f t="shared" si="4"/>
        <v>124800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749</v>
      </c>
      <c r="E54" s="15"/>
      <c r="F54" s="15"/>
      <c r="G54" s="15">
        <f t="shared" si="0"/>
        <v>749</v>
      </c>
      <c r="H54" s="15">
        <v>7</v>
      </c>
      <c r="I54" s="16"/>
      <c r="J54" s="76">
        <f t="shared" si="1"/>
        <v>742</v>
      </c>
      <c r="K54" s="76">
        <v>-350</v>
      </c>
      <c r="L54" s="76">
        <f t="shared" si="2"/>
        <v>392</v>
      </c>
      <c r="M54" s="84"/>
      <c r="N54" s="99">
        <v>375</v>
      </c>
      <c r="O54" s="50">
        <f t="shared" si="3"/>
        <v>147000</v>
      </c>
      <c r="P54" s="50">
        <f t="shared" si="4"/>
        <v>278250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128</v>
      </c>
      <c r="E55" s="15"/>
      <c r="F55" s="15"/>
      <c r="G55" s="15">
        <f t="shared" si="0"/>
        <v>128</v>
      </c>
      <c r="H55" s="15">
        <v>5</v>
      </c>
      <c r="I55" s="21"/>
      <c r="J55" s="76">
        <f t="shared" si="1"/>
        <v>123</v>
      </c>
      <c r="K55" s="76">
        <v>9</v>
      </c>
      <c r="L55" s="76">
        <f t="shared" si="2"/>
        <v>132</v>
      </c>
      <c r="M55" s="30"/>
      <c r="N55" s="99">
        <v>425</v>
      </c>
      <c r="O55" s="50">
        <f t="shared" si="3"/>
        <v>56100</v>
      </c>
      <c r="P55" s="50">
        <f t="shared" si="4"/>
        <v>52275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302</v>
      </c>
      <c r="E56" s="15"/>
      <c r="F56" s="15"/>
      <c r="G56" s="15">
        <f t="shared" si="0"/>
        <v>302</v>
      </c>
      <c r="H56" s="15">
        <v>24</v>
      </c>
      <c r="I56" s="22"/>
      <c r="J56" s="76">
        <f t="shared" si="1"/>
        <v>278</v>
      </c>
      <c r="K56" s="76">
        <v>-200</v>
      </c>
      <c r="L56" s="76">
        <f t="shared" si="2"/>
        <v>78</v>
      </c>
      <c r="M56" s="84"/>
      <c r="N56" s="99">
        <v>390</v>
      </c>
      <c r="O56" s="50">
        <f t="shared" si="3"/>
        <v>30420</v>
      </c>
      <c r="P56" s="50">
        <f t="shared" si="4"/>
        <v>108420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-31</v>
      </c>
      <c r="E58" s="15"/>
      <c r="F58" s="15"/>
      <c r="G58" s="15">
        <f t="shared" si="0"/>
        <v>-31</v>
      </c>
      <c r="H58" s="15">
        <v>16</v>
      </c>
      <c r="I58" s="16"/>
      <c r="J58" s="76">
        <f t="shared" si="1"/>
        <v>-47</v>
      </c>
      <c r="K58" s="76">
        <v>50</v>
      </c>
      <c r="L58" s="76">
        <f t="shared" si="2"/>
        <v>3</v>
      </c>
      <c r="M58" s="30"/>
      <c r="N58" s="99">
        <v>132</v>
      </c>
      <c r="O58" s="50">
        <f t="shared" si="3"/>
        <v>396</v>
      </c>
      <c r="P58" s="50">
        <f t="shared" si="4"/>
        <v>-6204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401</v>
      </c>
      <c r="E59" s="15"/>
      <c r="F59" s="15"/>
      <c r="G59" s="15">
        <f t="shared" si="0"/>
        <v>401</v>
      </c>
      <c r="H59" s="15">
        <v>16</v>
      </c>
      <c r="I59" s="16"/>
      <c r="J59" s="76">
        <f t="shared" si="1"/>
        <v>385</v>
      </c>
      <c r="K59" s="76">
        <v>0</v>
      </c>
      <c r="L59" s="76">
        <f t="shared" si="2"/>
        <v>385</v>
      </c>
      <c r="M59" s="84"/>
      <c r="N59" s="99">
        <v>570</v>
      </c>
      <c r="O59" s="50">
        <f t="shared" si="3"/>
        <v>219450</v>
      </c>
      <c r="P59" s="50">
        <f t="shared" si="4"/>
        <v>219450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5694</v>
      </c>
      <c r="E62" s="15"/>
      <c r="F62" s="15"/>
      <c r="G62" s="15">
        <f t="shared" si="0"/>
        <v>5694</v>
      </c>
      <c r="H62" s="15">
        <v>100</v>
      </c>
      <c r="I62" s="16"/>
      <c r="J62" s="76">
        <f t="shared" si="1"/>
        <v>5594</v>
      </c>
      <c r="K62" s="76">
        <v>187</v>
      </c>
      <c r="L62" s="76">
        <f t="shared" si="2"/>
        <v>5781</v>
      </c>
      <c r="M62" s="30"/>
      <c r="N62" s="99">
        <v>87.38</v>
      </c>
      <c r="O62" s="50">
        <f t="shared" si="3"/>
        <v>505143.77999999997</v>
      </c>
      <c r="P62" s="50">
        <f t="shared" si="4"/>
        <v>488803.72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12</v>
      </c>
      <c r="E63" s="15"/>
      <c r="F63" s="15"/>
      <c r="G63" s="15">
        <f t="shared" si="0"/>
        <v>12</v>
      </c>
      <c r="H63" s="15">
        <v>7</v>
      </c>
      <c r="I63" s="16"/>
      <c r="J63" s="76">
        <f t="shared" si="1"/>
        <v>5</v>
      </c>
      <c r="K63" s="76">
        <v>300</v>
      </c>
      <c r="L63" s="76">
        <f t="shared" si="2"/>
        <v>305</v>
      </c>
      <c r="M63" s="84"/>
      <c r="N63" s="99">
        <v>290</v>
      </c>
      <c r="O63" s="50">
        <f t="shared" si="3"/>
        <v>88450</v>
      </c>
      <c r="P63" s="50">
        <f t="shared" si="4"/>
        <v>1450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98</v>
      </c>
      <c r="E64" s="23"/>
      <c r="F64" s="23"/>
      <c r="G64" s="23">
        <f t="shared" si="0"/>
        <v>98</v>
      </c>
      <c r="H64" s="23">
        <v>15</v>
      </c>
      <c r="I64" s="23"/>
      <c r="J64" s="76">
        <f t="shared" si="1"/>
        <v>83</v>
      </c>
      <c r="K64" s="79">
        <v>100</v>
      </c>
      <c r="L64" s="76">
        <f t="shared" si="2"/>
        <v>183</v>
      </c>
      <c r="M64" s="30"/>
      <c r="N64" s="99">
        <v>70</v>
      </c>
      <c r="O64" s="50">
        <f t="shared" si="3"/>
        <v>12810</v>
      </c>
      <c r="P64" s="50">
        <f t="shared" si="4"/>
        <v>5810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33</v>
      </c>
      <c r="E65" s="24"/>
      <c r="F65" s="24"/>
      <c r="G65" s="16">
        <f t="shared" si="0"/>
        <v>33</v>
      </c>
      <c r="H65" s="24">
        <v>82</v>
      </c>
      <c r="I65" s="24"/>
      <c r="J65" s="76">
        <f t="shared" si="1"/>
        <v>-49</v>
      </c>
      <c r="K65" s="80">
        <v>50</v>
      </c>
      <c r="L65" s="76">
        <f t="shared" si="2"/>
        <v>1</v>
      </c>
      <c r="M65" s="86"/>
      <c r="N65" s="99">
        <v>240</v>
      </c>
      <c r="O65" s="50">
        <f t="shared" si="3"/>
        <v>240</v>
      </c>
      <c r="P65" s="50">
        <f t="shared" si="4"/>
        <v>-11760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334</v>
      </c>
      <c r="E66" s="24"/>
      <c r="F66" s="24"/>
      <c r="G66" s="16">
        <f t="shared" si="0"/>
        <v>334</v>
      </c>
      <c r="H66" s="24">
        <v>8</v>
      </c>
      <c r="I66" s="24"/>
      <c r="J66" s="76">
        <f t="shared" si="1"/>
        <v>326</v>
      </c>
      <c r="K66" s="81">
        <v>0</v>
      </c>
      <c r="L66" s="81">
        <f t="shared" si="2"/>
        <v>326</v>
      </c>
      <c r="M66" s="86"/>
      <c r="N66" s="99">
        <v>1100</v>
      </c>
      <c r="O66" s="50">
        <f t="shared" si="3"/>
        <v>358600</v>
      </c>
      <c r="P66" s="50">
        <f t="shared" si="4"/>
        <v>358600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-2121</v>
      </c>
      <c r="E67" s="24"/>
      <c r="F67" s="24"/>
      <c r="G67" s="16">
        <f t="shared" si="0"/>
        <v>-2121</v>
      </c>
      <c r="H67" s="24">
        <v>532</v>
      </c>
      <c r="I67" s="24"/>
      <c r="J67" s="76">
        <f t="shared" si="1"/>
        <v>-2653</v>
      </c>
      <c r="K67" s="80">
        <v>2800</v>
      </c>
      <c r="L67" s="76">
        <f t="shared" si="2"/>
        <v>147</v>
      </c>
      <c r="M67" s="84"/>
      <c r="N67" s="99">
        <v>53</v>
      </c>
      <c r="O67" s="50">
        <f t="shared" si="3"/>
        <v>7791</v>
      </c>
      <c r="P67" s="50">
        <f t="shared" si="4"/>
        <v>-140609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439</v>
      </c>
      <c r="E70" s="24"/>
      <c r="F70" s="24"/>
      <c r="G70" s="16">
        <f t="shared" si="0"/>
        <v>439</v>
      </c>
      <c r="H70" s="24">
        <v>4</v>
      </c>
      <c r="I70" s="24"/>
      <c r="J70" s="76">
        <f t="shared" si="1"/>
        <v>435</v>
      </c>
      <c r="K70" s="80">
        <v>-153</v>
      </c>
      <c r="L70" s="76">
        <f t="shared" si="2"/>
        <v>282</v>
      </c>
      <c r="M70" s="86"/>
      <c r="N70" s="99">
        <v>260</v>
      </c>
      <c r="O70" s="50">
        <f t="shared" si="3"/>
        <v>73320</v>
      </c>
      <c r="P70" s="50">
        <f t="shared" si="4"/>
        <v>113100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3496</v>
      </c>
      <c r="E72" s="24"/>
      <c r="F72" s="24"/>
      <c r="G72" s="16">
        <f t="shared" si="0"/>
        <v>3496</v>
      </c>
      <c r="H72" s="24">
        <v>85</v>
      </c>
      <c r="I72" s="24"/>
      <c r="J72" s="76">
        <f t="shared" si="5"/>
        <v>3411</v>
      </c>
      <c r="K72" s="80">
        <v>-200</v>
      </c>
      <c r="L72" s="76">
        <f t="shared" si="2"/>
        <v>3211</v>
      </c>
      <c r="M72" s="30"/>
      <c r="N72" s="99">
        <v>39</v>
      </c>
      <c r="O72" s="50">
        <f t="shared" si="6"/>
        <v>125229</v>
      </c>
      <c r="P72" s="50">
        <f t="shared" si="7"/>
        <v>133029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18730</v>
      </c>
      <c r="E73" s="24"/>
      <c r="F73" s="24"/>
      <c r="G73" s="16">
        <f t="shared" si="0"/>
        <v>18730</v>
      </c>
      <c r="H73" s="24">
        <v>126</v>
      </c>
      <c r="I73" s="42"/>
      <c r="J73" s="76">
        <f t="shared" si="5"/>
        <v>18604</v>
      </c>
      <c r="K73" s="80">
        <v>0</v>
      </c>
      <c r="L73" s="76">
        <f t="shared" si="2"/>
        <v>18604</v>
      </c>
      <c r="M73" s="84"/>
      <c r="N73" s="99">
        <v>83</v>
      </c>
      <c r="O73" s="50">
        <f t="shared" si="6"/>
        <v>1544132</v>
      </c>
      <c r="P73" s="50">
        <f t="shared" si="7"/>
        <v>1544132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1663</v>
      </c>
      <c r="E75" s="24"/>
      <c r="F75" s="24"/>
      <c r="G75" s="16">
        <f t="shared" si="0"/>
        <v>1663</v>
      </c>
      <c r="H75" s="24">
        <v>169</v>
      </c>
      <c r="I75" s="24"/>
      <c r="J75" s="76">
        <f t="shared" si="5"/>
        <v>1494</v>
      </c>
      <c r="K75" s="80">
        <v>273</v>
      </c>
      <c r="L75" s="76">
        <f t="shared" si="2"/>
        <v>1767</v>
      </c>
      <c r="M75" s="86"/>
      <c r="N75" s="99">
        <v>16</v>
      </c>
      <c r="O75" s="50">
        <f t="shared" si="6"/>
        <v>28272</v>
      </c>
      <c r="P75" s="50">
        <f t="shared" si="7"/>
        <v>23904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348</v>
      </c>
      <c r="E76" s="24"/>
      <c r="F76" s="24"/>
      <c r="G76" s="16">
        <f t="shared" si="0"/>
        <v>348</v>
      </c>
      <c r="H76" s="24">
        <v>16</v>
      </c>
      <c r="I76" s="24"/>
      <c r="J76" s="76">
        <f t="shared" si="5"/>
        <v>332</v>
      </c>
      <c r="K76" s="80">
        <v>-250</v>
      </c>
      <c r="L76" s="76">
        <f t="shared" si="2"/>
        <v>82</v>
      </c>
      <c r="M76" s="30"/>
      <c r="N76" s="99">
        <v>400</v>
      </c>
      <c r="O76" s="50">
        <f t="shared" si="6"/>
        <v>32800</v>
      </c>
      <c r="P76" s="50">
        <f t="shared" si="7"/>
        <v>132800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500</v>
      </c>
      <c r="E77" s="24"/>
      <c r="F77" s="24"/>
      <c r="G77" s="16">
        <f t="shared" si="0"/>
        <v>500</v>
      </c>
      <c r="H77" s="24"/>
      <c r="I77" s="24"/>
      <c r="J77" s="76">
        <f t="shared" si="5"/>
        <v>500</v>
      </c>
      <c r="K77" s="80">
        <v>7</v>
      </c>
      <c r="L77" s="76">
        <f t="shared" si="2"/>
        <v>507</v>
      </c>
      <c r="M77" s="86"/>
      <c r="N77" s="99">
        <v>480</v>
      </c>
      <c r="O77" s="50">
        <f t="shared" si="6"/>
        <v>243360</v>
      </c>
      <c r="P77" s="50">
        <f t="shared" si="7"/>
        <v>240000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332</v>
      </c>
      <c r="E78" s="24"/>
      <c r="F78" s="24"/>
      <c r="G78" s="16">
        <f t="shared" si="0"/>
        <v>332</v>
      </c>
      <c r="H78" s="24">
        <v>11</v>
      </c>
      <c r="I78" s="24"/>
      <c r="J78" s="76">
        <f t="shared" si="5"/>
        <v>321</v>
      </c>
      <c r="K78" s="80">
        <v>100</v>
      </c>
      <c r="L78" s="76">
        <f t="shared" si="2"/>
        <v>421</v>
      </c>
      <c r="M78" s="86"/>
      <c r="N78" s="99">
        <v>900</v>
      </c>
      <c r="O78" s="50">
        <f t="shared" si="6"/>
        <v>378900</v>
      </c>
      <c r="P78" s="50">
        <f t="shared" si="7"/>
        <v>288900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5179</v>
      </c>
      <c r="E83" s="98"/>
      <c r="F83" s="24"/>
      <c r="G83" s="16">
        <f t="shared" si="8"/>
        <v>5179</v>
      </c>
      <c r="H83" s="24"/>
      <c r="I83" s="95">
        <v>166</v>
      </c>
      <c r="J83" s="76">
        <f t="shared" si="5"/>
        <v>5013</v>
      </c>
      <c r="K83" s="81">
        <v>0</v>
      </c>
      <c r="L83" s="76">
        <f t="shared" si="2"/>
        <v>5013</v>
      </c>
      <c r="M83" s="85"/>
      <c r="N83" s="100">
        <v>64</v>
      </c>
      <c r="O83" s="50">
        <f t="shared" si="6"/>
        <v>320832</v>
      </c>
      <c r="P83" s="50">
        <f t="shared" si="7"/>
        <v>320832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18</v>
      </c>
      <c r="E84" s="89"/>
      <c r="F84" s="12"/>
      <c r="G84" s="45">
        <f t="shared" si="8"/>
        <v>18</v>
      </c>
      <c r="H84" s="12">
        <v>1</v>
      </c>
      <c r="I84" s="94"/>
      <c r="J84" s="82">
        <f t="shared" ref="J84:J97" si="9">D84+E84-H84-I84</f>
        <v>17</v>
      </c>
      <c r="K84" s="96">
        <v>0</v>
      </c>
      <c r="L84" s="82">
        <f t="shared" si="2"/>
        <v>17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>
        <v>2</v>
      </c>
      <c r="I85" s="11"/>
      <c r="J85" s="76">
        <f t="shared" si="9"/>
        <v>-19</v>
      </c>
      <c r="K85" s="97">
        <v>500</v>
      </c>
      <c r="L85" s="76">
        <f t="shared" si="2"/>
        <v>481</v>
      </c>
      <c r="M85" s="86"/>
      <c r="N85" s="99">
        <v>350</v>
      </c>
      <c r="O85" s="50">
        <f t="shared" si="6"/>
        <v>168350</v>
      </c>
      <c r="P85" s="50">
        <f t="shared" si="7"/>
        <v>-6650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448</v>
      </c>
      <c r="E86" s="90"/>
      <c r="F86" s="11"/>
      <c r="G86" s="16">
        <f t="shared" si="8"/>
        <v>448</v>
      </c>
      <c r="H86" s="88">
        <v>20</v>
      </c>
      <c r="I86" s="11"/>
      <c r="J86" s="76">
        <f t="shared" si="9"/>
        <v>428</v>
      </c>
      <c r="K86" s="97">
        <v>300</v>
      </c>
      <c r="L86" s="76">
        <f t="shared" si="2"/>
        <v>728</v>
      </c>
      <c r="M86" s="84"/>
      <c r="N86" s="99">
        <v>165</v>
      </c>
      <c r="O86" s="50">
        <f t="shared" si="6"/>
        <v>120120</v>
      </c>
      <c r="P86" s="50">
        <f t="shared" si="7"/>
        <v>70620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265</v>
      </c>
      <c r="E87" s="11"/>
      <c r="F87" s="11"/>
      <c r="G87" s="16">
        <f t="shared" si="8"/>
        <v>265</v>
      </c>
      <c r="H87" s="88">
        <v>5</v>
      </c>
      <c r="I87" s="11"/>
      <c r="J87" s="76">
        <f t="shared" si="9"/>
        <v>260</v>
      </c>
      <c r="K87" s="97">
        <v>-1</v>
      </c>
      <c r="L87" s="76">
        <f t="shared" si="2"/>
        <v>259</v>
      </c>
      <c r="M87" s="86"/>
      <c r="N87" s="99">
        <v>630</v>
      </c>
      <c r="O87" s="50">
        <f t="shared" si="6"/>
        <v>163170</v>
      </c>
      <c r="P87" s="50">
        <f t="shared" si="7"/>
        <v>163800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30</v>
      </c>
      <c r="E88" s="11"/>
      <c r="F88" s="11"/>
      <c r="G88" s="16">
        <f t="shared" si="8"/>
        <v>30</v>
      </c>
      <c r="H88" s="88">
        <v>4</v>
      </c>
      <c r="I88" s="11"/>
      <c r="J88" s="76">
        <f t="shared" si="9"/>
        <v>26</v>
      </c>
      <c r="K88" s="97">
        <v>0</v>
      </c>
      <c r="L88" s="76">
        <f t="shared" ref="L88:L97" si="10">J88+K88</f>
        <v>26</v>
      </c>
      <c r="M88" s="86"/>
      <c r="N88" s="99">
        <v>285</v>
      </c>
      <c r="O88" s="50">
        <f t="shared" si="6"/>
        <v>7410</v>
      </c>
      <c r="P88" s="50">
        <f t="shared" si="7"/>
        <v>7410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468</v>
      </c>
      <c r="E92" s="88"/>
      <c r="F92" s="11"/>
      <c r="G92" s="16">
        <f t="shared" si="8"/>
        <v>468</v>
      </c>
      <c r="H92" s="88">
        <v>15</v>
      </c>
      <c r="I92" s="11"/>
      <c r="J92" s="83">
        <f t="shared" si="9"/>
        <v>453</v>
      </c>
      <c r="K92" s="97">
        <v>0</v>
      </c>
      <c r="L92" s="76">
        <f t="shared" si="10"/>
        <v>453</v>
      </c>
      <c r="M92" s="86"/>
      <c r="N92" s="99">
        <v>113</v>
      </c>
      <c r="O92" s="50">
        <f t="shared" si="6"/>
        <v>51189</v>
      </c>
      <c r="P92" s="50">
        <f t="shared" si="7"/>
        <v>51189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259</v>
      </c>
      <c r="E94" s="88"/>
      <c r="F94" s="11"/>
      <c r="G94" s="16">
        <f t="shared" si="8"/>
        <v>259</v>
      </c>
      <c r="H94" s="88">
        <v>14</v>
      </c>
      <c r="I94" s="11"/>
      <c r="J94" s="83">
        <f t="shared" si="9"/>
        <v>245</v>
      </c>
      <c r="K94" s="97">
        <v>-50</v>
      </c>
      <c r="L94" s="76">
        <f t="shared" si="10"/>
        <v>195</v>
      </c>
      <c r="M94" s="86"/>
      <c r="N94" s="99">
        <v>950</v>
      </c>
      <c r="O94" s="50">
        <f t="shared" si="6"/>
        <v>185250</v>
      </c>
      <c r="P94" s="50">
        <f t="shared" si="7"/>
        <v>232750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1465001.2549999999</v>
      </c>
      <c r="E98" s="27">
        <f t="shared" ref="E98:L98" si="11">SUM(E6:E97)</f>
        <v>65100</v>
      </c>
      <c r="F98" s="27">
        <f t="shared" si="11"/>
        <v>0</v>
      </c>
      <c r="G98" s="27">
        <f t="shared" si="11"/>
        <v>1530101.2549999999</v>
      </c>
      <c r="H98" s="27">
        <f t="shared" si="11"/>
        <v>65531</v>
      </c>
      <c r="I98" s="27">
        <f t="shared" si="11"/>
        <v>166</v>
      </c>
      <c r="J98" s="27">
        <f t="shared" si="11"/>
        <v>1464404.2549999999</v>
      </c>
      <c r="K98" s="27">
        <f t="shared" si="11"/>
        <v>-575692</v>
      </c>
      <c r="L98" s="27">
        <f t="shared" si="11"/>
        <v>888712.25499999989</v>
      </c>
      <c r="M98" s="27">
        <f>SUM(M6:M96)</f>
        <v>0</v>
      </c>
      <c r="N98" s="51"/>
      <c r="O98" s="51">
        <f t="shared" ref="O98" si="12">SUM(O6:O97)</f>
        <v>32918817.080000002</v>
      </c>
      <c r="P98" s="51">
        <f>SUM(P6:P97)</f>
        <v>45079267.780000001</v>
      </c>
      <c r="Q98" s="57">
        <f>O98-P98</f>
        <v>-12160450.699999999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5" t="s">
        <v>115</v>
      </c>
      <c r="M100" s="115"/>
      <c r="O100" s="55" t="s">
        <v>110</v>
      </c>
      <c r="P100" s="54">
        <v>79909923</v>
      </c>
    </row>
    <row r="101" spans="1:22">
      <c r="P101" s="54">
        <f>P100-P98</f>
        <v>34830655.219999999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Q35" sqref="Q35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151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54521</v>
      </c>
      <c r="E6" s="15"/>
      <c r="F6" s="16"/>
      <c r="G6" s="15">
        <f>D6+E6-F6</f>
        <v>54521</v>
      </c>
      <c r="H6" s="15">
        <v>21205</v>
      </c>
      <c r="I6" s="16"/>
      <c r="J6" s="15">
        <f>G6-H6-I6</f>
        <v>33316</v>
      </c>
      <c r="K6" s="15">
        <v>8000</v>
      </c>
      <c r="L6" s="15">
        <f>J6+K6</f>
        <v>41316</v>
      </c>
      <c r="M6" s="30" t="s">
        <v>75</v>
      </c>
      <c r="N6" s="99">
        <v>21.5</v>
      </c>
      <c r="O6" s="50">
        <f>L6*N6</f>
        <v>888294</v>
      </c>
      <c r="P6" s="50">
        <f>J6*N6</f>
        <v>716294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92528</v>
      </c>
      <c r="E7" s="15">
        <v>14931</v>
      </c>
      <c r="F7" s="15"/>
      <c r="G7" s="15">
        <f t="shared" ref="G7:G80" si="0">D7+E7-F7</f>
        <v>107459</v>
      </c>
      <c r="H7" s="15">
        <v>7135</v>
      </c>
      <c r="I7" s="15"/>
      <c r="J7" s="15">
        <f t="shared" ref="J7:J70" si="1">G7-H7-I7</f>
        <v>100324</v>
      </c>
      <c r="K7" s="15">
        <v>-5000</v>
      </c>
      <c r="L7" s="15">
        <f t="shared" ref="L7:L87" si="2">J7+K7</f>
        <v>95324</v>
      </c>
      <c r="M7" s="30"/>
      <c r="N7" s="99">
        <v>38</v>
      </c>
      <c r="O7" s="50">
        <f t="shared" ref="O7:O70" si="3">L7*N7</f>
        <v>3622312</v>
      </c>
      <c r="P7" s="50">
        <f t="shared" ref="P7:P70" si="4">J7*N7</f>
        <v>3812312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89226</v>
      </c>
      <c r="E8" s="15"/>
      <c r="F8" s="15"/>
      <c r="G8" s="15">
        <f t="shared" si="0"/>
        <v>89226</v>
      </c>
      <c r="H8" s="15">
        <v>2740</v>
      </c>
      <c r="I8" s="15"/>
      <c r="J8" s="15">
        <f t="shared" si="1"/>
        <v>86486</v>
      </c>
      <c r="K8" s="15">
        <v>0</v>
      </c>
      <c r="L8" s="15">
        <f t="shared" si="2"/>
        <v>86486</v>
      </c>
      <c r="M8" s="30"/>
      <c r="N8" s="99">
        <v>12</v>
      </c>
      <c r="O8" s="50">
        <f t="shared" si="3"/>
        <v>1037832</v>
      </c>
      <c r="P8" s="50">
        <f t="shared" si="4"/>
        <v>1037832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808261</v>
      </c>
      <c r="E10" s="15"/>
      <c r="F10" s="15"/>
      <c r="G10" s="15">
        <f t="shared" si="0"/>
        <v>808261</v>
      </c>
      <c r="H10" s="15">
        <v>2126</v>
      </c>
      <c r="I10" s="15"/>
      <c r="J10" s="15">
        <f t="shared" si="1"/>
        <v>806135</v>
      </c>
      <c r="K10" s="15">
        <v>-607000</v>
      </c>
      <c r="L10" s="15">
        <f t="shared" si="2"/>
        <v>199135</v>
      </c>
      <c r="M10" s="30"/>
      <c r="N10" s="99">
        <v>23.09</v>
      </c>
      <c r="O10" s="50">
        <f t="shared" si="3"/>
        <v>4598027.1500000004</v>
      </c>
      <c r="P10" s="50">
        <f t="shared" si="4"/>
        <v>18613657.149999999</v>
      </c>
      <c r="Q10" s="43">
        <f>O10-P10</f>
        <v>-14015629.999999998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12214</v>
      </c>
      <c r="E11" s="15"/>
      <c r="F11" s="15"/>
      <c r="G11" s="15">
        <f t="shared" si="0"/>
        <v>12214</v>
      </c>
      <c r="H11" s="15">
        <v>1266</v>
      </c>
      <c r="I11" s="15"/>
      <c r="J11" s="15">
        <f t="shared" si="1"/>
        <v>10948</v>
      </c>
      <c r="K11" s="15">
        <v>2000</v>
      </c>
      <c r="L11" s="15">
        <f t="shared" si="2"/>
        <v>12948</v>
      </c>
      <c r="M11" s="30" t="s">
        <v>75</v>
      </c>
      <c r="N11" s="99">
        <v>16.5</v>
      </c>
      <c r="O11" s="50">
        <f t="shared" si="3"/>
        <v>213642</v>
      </c>
      <c r="P11" s="50">
        <f t="shared" si="4"/>
        <v>180642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1030</v>
      </c>
      <c r="E13" s="15">
        <v>14930</v>
      </c>
      <c r="F13" s="15"/>
      <c r="G13" s="15">
        <f t="shared" si="0"/>
        <v>15960</v>
      </c>
      <c r="H13" s="15">
        <v>3473</v>
      </c>
      <c r="I13" s="15"/>
      <c r="J13" s="15">
        <f t="shared" si="1"/>
        <v>12487</v>
      </c>
      <c r="K13" s="15">
        <v>5000</v>
      </c>
      <c r="L13" s="15">
        <f t="shared" si="2"/>
        <v>17487</v>
      </c>
      <c r="M13" s="30" t="s">
        <v>75</v>
      </c>
      <c r="N13" s="99">
        <v>27.5</v>
      </c>
      <c r="O13" s="50">
        <f t="shared" si="3"/>
        <v>480892.5</v>
      </c>
      <c r="P13" s="50">
        <f t="shared" si="4"/>
        <v>343392.5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11912</v>
      </c>
      <c r="E14" s="15"/>
      <c r="F14" s="15"/>
      <c r="G14" s="15">
        <f t="shared" si="0"/>
        <v>11912</v>
      </c>
      <c r="H14" s="15"/>
      <c r="I14" s="16"/>
      <c r="J14" s="15">
        <f t="shared" si="1"/>
        <v>11912</v>
      </c>
      <c r="K14" s="15">
        <v>-1000</v>
      </c>
      <c r="L14" s="15">
        <f t="shared" si="2"/>
        <v>10912</v>
      </c>
      <c r="M14" s="30"/>
      <c r="N14" s="99">
        <v>59</v>
      </c>
      <c r="O14" s="50">
        <f t="shared" si="3"/>
        <v>643808</v>
      </c>
      <c r="P14" s="50">
        <f t="shared" si="4"/>
        <v>702808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18688</v>
      </c>
      <c r="E16" s="29"/>
      <c r="F16" s="15"/>
      <c r="G16" s="15">
        <f t="shared" si="0"/>
        <v>18688</v>
      </c>
      <c r="H16" s="15"/>
      <c r="I16" s="16"/>
      <c r="J16" s="15">
        <f t="shared" si="1"/>
        <v>18688</v>
      </c>
      <c r="K16" s="15">
        <v>0</v>
      </c>
      <c r="L16" s="15">
        <f>J16+K16</f>
        <v>18688</v>
      </c>
      <c r="M16" s="30"/>
      <c r="N16" s="99">
        <v>43.25</v>
      </c>
      <c r="O16" s="50">
        <f t="shared" si="3"/>
        <v>808256</v>
      </c>
      <c r="P16" s="50">
        <f t="shared" si="4"/>
        <v>808256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5595</v>
      </c>
      <c r="E19" s="15"/>
      <c r="F19" s="15"/>
      <c r="G19" s="15">
        <f t="shared" si="0"/>
        <v>5595</v>
      </c>
      <c r="H19" s="15"/>
      <c r="I19" s="16"/>
      <c r="J19" s="15">
        <f t="shared" si="1"/>
        <v>5595</v>
      </c>
      <c r="K19" s="15">
        <v>1000</v>
      </c>
      <c r="L19" s="15">
        <f t="shared" si="2"/>
        <v>6595</v>
      </c>
      <c r="M19" s="30"/>
      <c r="N19" s="99">
        <v>22.8</v>
      </c>
      <c r="O19" s="50">
        <f t="shared" si="3"/>
        <v>150366</v>
      </c>
      <c r="P19" s="50">
        <f t="shared" si="4"/>
        <v>127566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5660</v>
      </c>
      <c r="E20" s="15"/>
      <c r="F20" s="15"/>
      <c r="G20" s="15">
        <f t="shared" si="0"/>
        <v>5660</v>
      </c>
      <c r="H20" s="15"/>
      <c r="I20" s="16"/>
      <c r="J20" s="15">
        <f t="shared" si="1"/>
        <v>5660</v>
      </c>
      <c r="K20" s="15">
        <v>0</v>
      </c>
      <c r="L20" s="15">
        <f t="shared" si="2"/>
        <v>5660</v>
      </c>
      <c r="M20" s="30" t="s">
        <v>75</v>
      </c>
      <c r="N20" s="99">
        <v>20</v>
      </c>
      <c r="O20" s="50">
        <f t="shared" si="3"/>
        <v>113200</v>
      </c>
      <c r="P20" s="50">
        <f t="shared" si="4"/>
        <v>113200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3543</v>
      </c>
      <c r="E21" s="15"/>
      <c r="F21" s="15"/>
      <c r="G21" s="15">
        <f t="shared" si="0"/>
        <v>3543</v>
      </c>
      <c r="H21" s="15">
        <v>441</v>
      </c>
      <c r="I21" s="16"/>
      <c r="J21" s="15">
        <f t="shared" si="1"/>
        <v>3102</v>
      </c>
      <c r="K21" s="15">
        <v>0</v>
      </c>
      <c r="L21" s="15">
        <f t="shared" si="2"/>
        <v>3102</v>
      </c>
      <c r="M21" s="30"/>
      <c r="N21" s="99">
        <v>8.5</v>
      </c>
      <c r="O21" s="50">
        <f t="shared" si="3"/>
        <v>26367</v>
      </c>
      <c r="P21" s="50">
        <f t="shared" si="4"/>
        <v>26367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231283</v>
      </c>
      <c r="E22" s="15"/>
      <c r="F22" s="15"/>
      <c r="G22" s="15">
        <f t="shared" si="0"/>
        <v>231283</v>
      </c>
      <c r="H22" s="15">
        <v>2152</v>
      </c>
      <c r="I22" s="16"/>
      <c r="J22" s="15">
        <f t="shared" si="1"/>
        <v>229131</v>
      </c>
      <c r="K22" s="15">
        <v>8000</v>
      </c>
      <c r="L22" s="15">
        <f t="shared" si="2"/>
        <v>237131</v>
      </c>
      <c r="M22" s="30"/>
      <c r="N22" s="99">
        <v>8.5</v>
      </c>
      <c r="O22" s="50">
        <f t="shared" si="3"/>
        <v>2015613.5</v>
      </c>
      <c r="P22" s="50">
        <f t="shared" si="4"/>
        <v>1947613.5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6716</v>
      </c>
      <c r="E23" s="15"/>
      <c r="F23" s="15"/>
      <c r="G23" s="15">
        <f t="shared" si="0"/>
        <v>6716</v>
      </c>
      <c r="H23" s="15">
        <v>895</v>
      </c>
      <c r="I23" s="16"/>
      <c r="J23" s="15">
        <f t="shared" si="1"/>
        <v>5821</v>
      </c>
      <c r="K23" s="15">
        <v>1500</v>
      </c>
      <c r="L23" s="15">
        <f t="shared" si="2"/>
        <v>7321</v>
      </c>
      <c r="M23" s="30" t="s">
        <v>75</v>
      </c>
      <c r="N23" s="99">
        <v>82</v>
      </c>
      <c r="O23" s="50">
        <f t="shared" si="3"/>
        <v>600322</v>
      </c>
      <c r="P23" s="50">
        <f t="shared" si="4"/>
        <v>477322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11288</v>
      </c>
      <c r="E24" s="29"/>
      <c r="F24" s="29"/>
      <c r="G24" s="15">
        <f t="shared" si="0"/>
        <v>11288</v>
      </c>
      <c r="H24" s="15"/>
      <c r="I24" s="16"/>
      <c r="J24" s="15">
        <f t="shared" si="1"/>
        <v>11288</v>
      </c>
      <c r="K24" s="15">
        <v>2713</v>
      </c>
      <c r="L24" s="15">
        <f t="shared" si="2"/>
        <v>14001</v>
      </c>
      <c r="M24" s="30"/>
      <c r="N24" s="99">
        <v>22.1</v>
      </c>
      <c r="O24" s="50">
        <f t="shared" si="3"/>
        <v>309422.10000000003</v>
      </c>
      <c r="P24" s="50">
        <f t="shared" si="4"/>
        <v>249464.80000000002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176</v>
      </c>
      <c r="E26" s="15"/>
      <c r="F26" s="15"/>
      <c r="G26" s="15">
        <f t="shared" si="0"/>
        <v>176</v>
      </c>
      <c r="H26" s="15">
        <v>30</v>
      </c>
      <c r="I26" s="16"/>
      <c r="J26" s="76">
        <f t="shared" si="1"/>
        <v>146</v>
      </c>
      <c r="K26" s="76">
        <v>0</v>
      </c>
      <c r="L26" s="76">
        <f t="shared" si="2"/>
        <v>146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7734</v>
      </c>
      <c r="E32" s="15">
        <v>13520</v>
      </c>
      <c r="F32" s="15"/>
      <c r="G32" s="15">
        <f t="shared" si="0"/>
        <v>21254</v>
      </c>
      <c r="H32" s="15">
        <v>2971</v>
      </c>
      <c r="I32" s="16"/>
      <c r="J32" s="76">
        <f t="shared" si="1"/>
        <v>18283</v>
      </c>
      <c r="K32" s="76"/>
      <c r="L32" s="76">
        <f t="shared" si="2"/>
        <v>18283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14240</v>
      </c>
      <c r="E33" s="15"/>
      <c r="F33" s="15"/>
      <c r="G33" s="15">
        <f t="shared" si="0"/>
        <v>14240</v>
      </c>
      <c r="H33" s="15">
        <v>213</v>
      </c>
      <c r="I33" s="16"/>
      <c r="J33" s="76">
        <f t="shared" si="1"/>
        <v>14027</v>
      </c>
      <c r="K33" s="76">
        <v>206</v>
      </c>
      <c r="L33" s="76">
        <f t="shared" si="2"/>
        <v>14233</v>
      </c>
      <c r="M33" s="30"/>
      <c r="N33" s="99">
        <v>12.49</v>
      </c>
      <c r="O33" s="50">
        <f t="shared" si="3"/>
        <v>177770.17</v>
      </c>
      <c r="P33" s="50">
        <f t="shared" si="4"/>
        <v>175197.23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173</v>
      </c>
      <c r="E34" s="15"/>
      <c r="F34" s="15"/>
      <c r="G34" s="15">
        <f t="shared" si="0"/>
        <v>173</v>
      </c>
      <c r="H34" s="15">
        <v>2</v>
      </c>
      <c r="I34" s="16"/>
      <c r="J34" s="76">
        <f t="shared" si="1"/>
        <v>171</v>
      </c>
      <c r="K34" s="76">
        <v>-50</v>
      </c>
      <c r="L34" s="76">
        <f t="shared" si="2"/>
        <v>121</v>
      </c>
      <c r="M34" s="77"/>
      <c r="N34" s="99">
        <v>435</v>
      </c>
      <c r="O34" s="50">
        <f t="shared" si="3"/>
        <v>52635</v>
      </c>
      <c r="P34" s="50">
        <f t="shared" si="4"/>
        <v>74385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117</v>
      </c>
      <c r="E35" s="15"/>
      <c r="F35" s="15"/>
      <c r="G35" s="15">
        <f t="shared" si="0"/>
        <v>117</v>
      </c>
      <c r="H35" s="15"/>
      <c r="I35" s="16"/>
      <c r="J35" s="76">
        <f>G35-H35-I35</f>
        <v>117</v>
      </c>
      <c r="K35" s="76">
        <v>-50</v>
      </c>
      <c r="L35" s="76">
        <f t="shared" si="2"/>
        <v>67</v>
      </c>
      <c r="M35" s="84"/>
      <c r="N35" s="99">
        <v>730</v>
      </c>
      <c r="O35" s="50">
        <f t="shared" si="3"/>
        <v>48910</v>
      </c>
      <c r="P35" s="50">
        <f t="shared" si="4"/>
        <v>85410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334</v>
      </c>
      <c r="E36" s="15"/>
      <c r="F36" s="15"/>
      <c r="G36" s="15">
        <f t="shared" si="0"/>
        <v>334</v>
      </c>
      <c r="H36" s="16">
        <v>3</v>
      </c>
      <c r="I36" s="16"/>
      <c r="J36" s="76">
        <f t="shared" si="1"/>
        <v>331</v>
      </c>
      <c r="K36" s="76">
        <v>-125</v>
      </c>
      <c r="L36" s="76">
        <f t="shared" si="2"/>
        <v>206</v>
      </c>
      <c r="M36" s="84"/>
      <c r="N36" s="99">
        <v>155</v>
      </c>
      <c r="O36" s="50">
        <f t="shared" si="3"/>
        <v>31930</v>
      </c>
      <c r="P36" s="50">
        <f t="shared" si="4"/>
        <v>51305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1419</v>
      </c>
      <c r="E37" s="15"/>
      <c r="F37" s="15"/>
      <c r="G37" s="15">
        <f t="shared" si="0"/>
        <v>1419</v>
      </c>
      <c r="H37" s="16">
        <v>79</v>
      </c>
      <c r="I37" s="16"/>
      <c r="J37" s="76">
        <f t="shared" si="1"/>
        <v>1340</v>
      </c>
      <c r="K37" s="76">
        <v>0</v>
      </c>
      <c r="L37" s="76">
        <f t="shared" si="2"/>
        <v>1340</v>
      </c>
      <c r="M37" s="84"/>
      <c r="N37" s="99">
        <v>125</v>
      </c>
      <c r="O37" s="50">
        <f t="shared" si="3"/>
        <v>167500</v>
      </c>
      <c r="P37" s="50">
        <f t="shared" si="4"/>
        <v>167500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289</v>
      </c>
      <c r="E39" s="15"/>
      <c r="F39" s="15"/>
      <c r="G39" s="15">
        <f t="shared" si="0"/>
        <v>289</v>
      </c>
      <c r="H39" s="16"/>
      <c r="I39" s="16"/>
      <c r="J39" s="76">
        <f t="shared" si="1"/>
        <v>289</v>
      </c>
      <c r="K39" s="76">
        <v>-70</v>
      </c>
      <c r="L39" s="76">
        <f t="shared" si="2"/>
        <v>219</v>
      </c>
      <c r="M39" s="84"/>
      <c r="N39" s="99">
        <v>975</v>
      </c>
      <c r="O39" s="50">
        <f t="shared" si="3"/>
        <v>213525</v>
      </c>
      <c r="P39" s="50">
        <f t="shared" si="4"/>
        <v>281775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686</v>
      </c>
      <c r="E41" s="15"/>
      <c r="F41" s="15"/>
      <c r="G41" s="15">
        <f t="shared" si="0"/>
        <v>686</v>
      </c>
      <c r="H41" s="16">
        <v>3</v>
      </c>
      <c r="I41" s="16"/>
      <c r="J41" s="76">
        <f t="shared" si="1"/>
        <v>683</v>
      </c>
      <c r="K41" s="76">
        <v>500</v>
      </c>
      <c r="L41" s="76">
        <f t="shared" si="2"/>
        <v>1183</v>
      </c>
      <c r="M41" s="84"/>
      <c r="N41" s="99">
        <v>125</v>
      </c>
      <c r="O41" s="50">
        <f t="shared" si="3"/>
        <v>147875</v>
      </c>
      <c r="P41" s="50">
        <f t="shared" si="4"/>
        <v>85375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/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15989</v>
      </c>
      <c r="E46" s="15"/>
      <c r="F46" s="15"/>
      <c r="G46" s="15">
        <f t="shared" si="0"/>
        <v>15989</v>
      </c>
      <c r="H46" s="16">
        <v>50</v>
      </c>
      <c r="I46" s="16"/>
      <c r="J46" s="76">
        <f t="shared" si="1"/>
        <v>15939</v>
      </c>
      <c r="K46" s="76">
        <v>-180</v>
      </c>
      <c r="L46" s="76">
        <f t="shared" si="2"/>
        <v>15759</v>
      </c>
      <c r="M46" s="84"/>
      <c r="N46" s="99">
        <v>275</v>
      </c>
      <c r="O46" s="50">
        <f t="shared" si="3"/>
        <v>4333725</v>
      </c>
      <c r="P46" s="50">
        <f t="shared" si="4"/>
        <v>4383225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500</v>
      </c>
      <c r="E47" s="15"/>
      <c r="F47" s="15"/>
      <c r="G47" s="15">
        <f t="shared" si="0"/>
        <v>500</v>
      </c>
      <c r="H47" s="15"/>
      <c r="I47" s="16"/>
      <c r="J47" s="76">
        <f t="shared" si="1"/>
        <v>500</v>
      </c>
      <c r="K47" s="76">
        <v>0</v>
      </c>
      <c r="L47" s="76">
        <f t="shared" si="2"/>
        <v>500</v>
      </c>
      <c r="M47" s="84"/>
      <c r="N47" s="99">
        <v>250</v>
      </c>
      <c r="O47" s="50">
        <f t="shared" si="3"/>
        <v>125000</v>
      </c>
      <c r="P47" s="50">
        <f t="shared" si="4"/>
        <v>125000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412</v>
      </c>
      <c r="E49" s="15"/>
      <c r="F49" s="15"/>
      <c r="G49" s="15">
        <f t="shared" si="0"/>
        <v>412</v>
      </c>
      <c r="H49" s="15">
        <v>21</v>
      </c>
      <c r="I49" s="16"/>
      <c r="J49" s="76">
        <f t="shared" si="1"/>
        <v>391</v>
      </c>
      <c r="K49" s="76">
        <v>45</v>
      </c>
      <c r="L49" s="76">
        <f t="shared" si="2"/>
        <v>436</v>
      </c>
      <c r="M49" s="84"/>
      <c r="N49" s="99">
        <v>800</v>
      </c>
      <c r="O49" s="50">
        <f t="shared" si="3"/>
        <v>348800</v>
      </c>
      <c r="P49" s="50">
        <f t="shared" si="4"/>
        <v>312800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78</v>
      </c>
      <c r="E53" s="15"/>
      <c r="F53" s="15"/>
      <c r="G53" s="15">
        <f t="shared" si="0"/>
        <v>78</v>
      </c>
      <c r="H53" s="15"/>
      <c r="I53" s="20"/>
      <c r="J53" s="76">
        <f t="shared" si="1"/>
        <v>78</v>
      </c>
      <c r="K53" s="76">
        <v>0</v>
      </c>
      <c r="L53" s="76">
        <f t="shared" si="2"/>
        <v>78</v>
      </c>
      <c r="M53" s="84"/>
      <c r="N53" s="99">
        <v>1600</v>
      </c>
      <c r="O53" s="50">
        <f t="shared" si="3"/>
        <v>124800</v>
      </c>
      <c r="P53" s="50">
        <f t="shared" si="4"/>
        <v>124800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742</v>
      </c>
      <c r="E54" s="15"/>
      <c r="F54" s="15"/>
      <c r="G54" s="15">
        <f t="shared" si="0"/>
        <v>742</v>
      </c>
      <c r="H54" s="15">
        <v>15</v>
      </c>
      <c r="I54" s="16"/>
      <c r="J54" s="76">
        <f t="shared" si="1"/>
        <v>727</v>
      </c>
      <c r="K54" s="76">
        <v>-350</v>
      </c>
      <c r="L54" s="76">
        <f t="shared" si="2"/>
        <v>377</v>
      </c>
      <c r="M54" s="84"/>
      <c r="N54" s="99">
        <v>375</v>
      </c>
      <c r="O54" s="50">
        <f t="shared" si="3"/>
        <v>141375</v>
      </c>
      <c r="P54" s="50">
        <f t="shared" si="4"/>
        <v>272625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123</v>
      </c>
      <c r="E55" s="15"/>
      <c r="F55" s="15"/>
      <c r="G55" s="15">
        <f t="shared" si="0"/>
        <v>123</v>
      </c>
      <c r="H55" s="15"/>
      <c r="I55" s="21"/>
      <c r="J55" s="76">
        <f t="shared" si="1"/>
        <v>123</v>
      </c>
      <c r="K55" s="76">
        <v>9</v>
      </c>
      <c r="L55" s="76">
        <f t="shared" si="2"/>
        <v>132</v>
      </c>
      <c r="M55" s="30"/>
      <c r="N55" s="99">
        <v>425</v>
      </c>
      <c r="O55" s="50">
        <f t="shared" si="3"/>
        <v>56100</v>
      </c>
      <c r="P55" s="50">
        <f t="shared" si="4"/>
        <v>52275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278</v>
      </c>
      <c r="E56" s="15"/>
      <c r="F56" s="15"/>
      <c r="G56" s="15">
        <f t="shared" si="0"/>
        <v>278</v>
      </c>
      <c r="H56" s="15">
        <v>8</v>
      </c>
      <c r="I56" s="22"/>
      <c r="J56" s="76">
        <f t="shared" si="1"/>
        <v>270</v>
      </c>
      <c r="K56" s="76">
        <v>-200</v>
      </c>
      <c r="L56" s="76">
        <f t="shared" si="2"/>
        <v>70</v>
      </c>
      <c r="M56" s="84"/>
      <c r="N56" s="99">
        <v>390</v>
      </c>
      <c r="O56" s="50">
        <f t="shared" si="3"/>
        <v>27300</v>
      </c>
      <c r="P56" s="50">
        <f t="shared" si="4"/>
        <v>105300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-47</v>
      </c>
      <c r="E58" s="15"/>
      <c r="F58" s="15"/>
      <c r="G58" s="15">
        <f t="shared" si="0"/>
        <v>-47</v>
      </c>
      <c r="H58" s="15"/>
      <c r="I58" s="16"/>
      <c r="J58" s="76">
        <f t="shared" si="1"/>
        <v>-47</v>
      </c>
      <c r="K58" s="76">
        <v>50</v>
      </c>
      <c r="L58" s="76">
        <f t="shared" si="2"/>
        <v>3</v>
      </c>
      <c r="M58" s="30"/>
      <c r="N58" s="99">
        <v>132</v>
      </c>
      <c r="O58" s="50">
        <f t="shared" si="3"/>
        <v>396</v>
      </c>
      <c r="P58" s="50">
        <f t="shared" si="4"/>
        <v>-6204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385</v>
      </c>
      <c r="E59" s="15"/>
      <c r="F59" s="15"/>
      <c r="G59" s="15">
        <f t="shared" si="0"/>
        <v>385</v>
      </c>
      <c r="H59" s="15">
        <v>14</v>
      </c>
      <c r="I59" s="16"/>
      <c r="J59" s="76">
        <f t="shared" si="1"/>
        <v>371</v>
      </c>
      <c r="K59" s="76">
        <v>0</v>
      </c>
      <c r="L59" s="76">
        <f t="shared" si="2"/>
        <v>371</v>
      </c>
      <c r="M59" s="84"/>
      <c r="N59" s="99">
        <v>570</v>
      </c>
      <c r="O59" s="50">
        <f t="shared" si="3"/>
        <v>211470</v>
      </c>
      <c r="P59" s="50">
        <f t="shared" si="4"/>
        <v>211470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5594</v>
      </c>
      <c r="E62" s="15"/>
      <c r="F62" s="15"/>
      <c r="G62" s="15">
        <f t="shared" si="0"/>
        <v>5594</v>
      </c>
      <c r="H62" s="15">
        <v>18</v>
      </c>
      <c r="I62" s="16"/>
      <c r="J62" s="76">
        <f t="shared" si="1"/>
        <v>5576</v>
      </c>
      <c r="K62" s="76">
        <v>187</v>
      </c>
      <c r="L62" s="76">
        <f t="shared" si="2"/>
        <v>5763</v>
      </c>
      <c r="M62" s="30"/>
      <c r="N62" s="99">
        <v>87.38</v>
      </c>
      <c r="O62" s="50">
        <f t="shared" si="3"/>
        <v>503570.94</v>
      </c>
      <c r="P62" s="50">
        <f t="shared" si="4"/>
        <v>487230.87999999995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5</v>
      </c>
      <c r="E63" s="15"/>
      <c r="F63" s="15"/>
      <c r="G63" s="15">
        <f t="shared" si="0"/>
        <v>5</v>
      </c>
      <c r="H63" s="15"/>
      <c r="I63" s="16"/>
      <c r="J63" s="76">
        <f t="shared" si="1"/>
        <v>5</v>
      </c>
      <c r="K63" s="76">
        <v>300</v>
      </c>
      <c r="L63" s="76">
        <f t="shared" si="2"/>
        <v>305</v>
      </c>
      <c r="M63" s="84"/>
      <c r="N63" s="99">
        <v>290</v>
      </c>
      <c r="O63" s="50">
        <f t="shared" si="3"/>
        <v>88450</v>
      </c>
      <c r="P63" s="50">
        <f t="shared" si="4"/>
        <v>1450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83</v>
      </c>
      <c r="E64" s="23"/>
      <c r="F64" s="23"/>
      <c r="G64" s="23">
        <f t="shared" si="0"/>
        <v>83</v>
      </c>
      <c r="H64" s="23">
        <v>22</v>
      </c>
      <c r="I64" s="23"/>
      <c r="J64" s="76">
        <f t="shared" si="1"/>
        <v>61</v>
      </c>
      <c r="K64" s="79">
        <v>100</v>
      </c>
      <c r="L64" s="76">
        <f t="shared" si="2"/>
        <v>161</v>
      </c>
      <c r="M64" s="30"/>
      <c r="N64" s="99">
        <v>70</v>
      </c>
      <c r="O64" s="50">
        <f t="shared" si="3"/>
        <v>11270</v>
      </c>
      <c r="P64" s="50">
        <f t="shared" si="4"/>
        <v>4270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0</v>
      </c>
      <c r="E65" s="24"/>
      <c r="F65" s="24"/>
      <c r="G65" s="16">
        <f t="shared" si="0"/>
        <v>0</v>
      </c>
      <c r="H65" s="24">
        <v>15</v>
      </c>
      <c r="I65" s="24"/>
      <c r="J65" s="76">
        <f t="shared" si="1"/>
        <v>-15</v>
      </c>
      <c r="K65" s="80">
        <v>15</v>
      </c>
      <c r="L65" s="76">
        <f t="shared" si="2"/>
        <v>0</v>
      </c>
      <c r="M65" s="86"/>
      <c r="N65" s="99">
        <v>240</v>
      </c>
      <c r="O65" s="50">
        <f t="shared" si="3"/>
        <v>0</v>
      </c>
      <c r="P65" s="50">
        <f t="shared" si="4"/>
        <v>-3600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326</v>
      </c>
      <c r="E66" s="24"/>
      <c r="F66" s="24"/>
      <c r="G66" s="16">
        <f t="shared" si="0"/>
        <v>326</v>
      </c>
      <c r="H66" s="24">
        <v>1</v>
      </c>
      <c r="I66" s="24"/>
      <c r="J66" s="76">
        <f t="shared" si="1"/>
        <v>325</v>
      </c>
      <c r="K66" s="81">
        <v>0</v>
      </c>
      <c r="L66" s="81">
        <f t="shared" si="2"/>
        <v>325</v>
      </c>
      <c r="M66" s="86"/>
      <c r="N66" s="99">
        <v>1100</v>
      </c>
      <c r="O66" s="50">
        <f t="shared" si="3"/>
        <v>357500</v>
      </c>
      <c r="P66" s="50">
        <f t="shared" si="4"/>
        <v>357500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-2653</v>
      </c>
      <c r="E67" s="24"/>
      <c r="F67" s="24"/>
      <c r="G67" s="16">
        <f t="shared" si="0"/>
        <v>-2653</v>
      </c>
      <c r="H67" s="24">
        <v>28</v>
      </c>
      <c r="I67" s="24"/>
      <c r="J67" s="76">
        <f t="shared" si="1"/>
        <v>-2681</v>
      </c>
      <c r="K67" s="80">
        <v>2800</v>
      </c>
      <c r="L67" s="76">
        <f t="shared" si="2"/>
        <v>119</v>
      </c>
      <c r="M67" s="84"/>
      <c r="N67" s="99">
        <v>53</v>
      </c>
      <c r="O67" s="50">
        <f t="shared" si="3"/>
        <v>6307</v>
      </c>
      <c r="P67" s="50">
        <f t="shared" si="4"/>
        <v>-142093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435</v>
      </c>
      <c r="E70" s="24"/>
      <c r="F70" s="24"/>
      <c r="G70" s="16">
        <f t="shared" si="0"/>
        <v>435</v>
      </c>
      <c r="H70" s="24">
        <v>2</v>
      </c>
      <c r="I70" s="24"/>
      <c r="J70" s="76">
        <f t="shared" si="1"/>
        <v>433</v>
      </c>
      <c r="K70" s="80">
        <v>-153</v>
      </c>
      <c r="L70" s="76">
        <f t="shared" si="2"/>
        <v>280</v>
      </c>
      <c r="M70" s="86"/>
      <c r="N70" s="99">
        <v>260</v>
      </c>
      <c r="O70" s="50">
        <f t="shared" si="3"/>
        <v>72800</v>
      </c>
      <c r="P70" s="50">
        <f t="shared" si="4"/>
        <v>112580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3411</v>
      </c>
      <c r="E72" s="24"/>
      <c r="F72" s="24"/>
      <c r="G72" s="16">
        <f t="shared" si="0"/>
        <v>3411</v>
      </c>
      <c r="H72" s="24">
        <v>68</v>
      </c>
      <c r="I72" s="24"/>
      <c r="J72" s="76">
        <f t="shared" si="5"/>
        <v>3343</v>
      </c>
      <c r="K72" s="80">
        <v>-200</v>
      </c>
      <c r="L72" s="76">
        <f t="shared" si="2"/>
        <v>3143</v>
      </c>
      <c r="M72" s="30"/>
      <c r="N72" s="99">
        <v>39</v>
      </c>
      <c r="O72" s="50">
        <f t="shared" si="6"/>
        <v>122577</v>
      </c>
      <c r="P72" s="50">
        <f t="shared" si="7"/>
        <v>130377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18604</v>
      </c>
      <c r="E73" s="24"/>
      <c r="F73" s="24"/>
      <c r="G73" s="16">
        <f t="shared" si="0"/>
        <v>18604</v>
      </c>
      <c r="H73" s="24">
        <v>411</v>
      </c>
      <c r="I73" s="42"/>
      <c r="J73" s="76">
        <f t="shared" si="5"/>
        <v>18193</v>
      </c>
      <c r="K73" s="80">
        <v>0</v>
      </c>
      <c r="L73" s="76">
        <f t="shared" si="2"/>
        <v>18193</v>
      </c>
      <c r="M73" s="84"/>
      <c r="N73" s="99">
        <v>83</v>
      </c>
      <c r="O73" s="50">
        <f t="shared" si="6"/>
        <v>1510019</v>
      </c>
      <c r="P73" s="50">
        <f t="shared" si="7"/>
        <v>1510019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1494</v>
      </c>
      <c r="E75" s="24"/>
      <c r="F75" s="24"/>
      <c r="G75" s="16">
        <f t="shared" si="0"/>
        <v>1494</v>
      </c>
      <c r="H75" s="24">
        <v>236</v>
      </c>
      <c r="I75" s="24"/>
      <c r="J75" s="76">
        <f t="shared" si="5"/>
        <v>1258</v>
      </c>
      <c r="K75" s="80">
        <v>273</v>
      </c>
      <c r="L75" s="76">
        <f t="shared" si="2"/>
        <v>1531</v>
      </c>
      <c r="M75" s="86"/>
      <c r="N75" s="99">
        <v>16</v>
      </c>
      <c r="O75" s="50">
        <f t="shared" si="6"/>
        <v>24496</v>
      </c>
      <c r="P75" s="50">
        <f t="shared" si="7"/>
        <v>20128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332</v>
      </c>
      <c r="E76" s="24"/>
      <c r="F76" s="24"/>
      <c r="G76" s="16">
        <f t="shared" si="0"/>
        <v>332</v>
      </c>
      <c r="H76" s="24">
        <v>10</v>
      </c>
      <c r="I76" s="24"/>
      <c r="J76" s="76">
        <f t="shared" si="5"/>
        <v>322</v>
      </c>
      <c r="K76" s="80">
        <v>-250</v>
      </c>
      <c r="L76" s="76">
        <f t="shared" si="2"/>
        <v>72</v>
      </c>
      <c r="M76" s="30"/>
      <c r="N76" s="99">
        <v>400</v>
      </c>
      <c r="O76" s="50">
        <f t="shared" si="6"/>
        <v>28800</v>
      </c>
      <c r="P76" s="50">
        <f t="shared" si="7"/>
        <v>128800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500</v>
      </c>
      <c r="E77" s="24"/>
      <c r="F77" s="24"/>
      <c r="G77" s="16">
        <f t="shared" si="0"/>
        <v>500</v>
      </c>
      <c r="H77" s="24">
        <v>2</v>
      </c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321</v>
      </c>
      <c r="E78" s="24"/>
      <c r="F78" s="24"/>
      <c r="G78" s="16">
        <f t="shared" si="0"/>
        <v>321</v>
      </c>
      <c r="H78" s="24">
        <v>5</v>
      </c>
      <c r="I78" s="24"/>
      <c r="J78" s="76">
        <f t="shared" si="5"/>
        <v>316</v>
      </c>
      <c r="K78" s="80">
        <v>100</v>
      </c>
      <c r="L78" s="76">
        <f t="shared" si="2"/>
        <v>416</v>
      </c>
      <c r="M78" s="86"/>
      <c r="N78" s="99">
        <v>900</v>
      </c>
      <c r="O78" s="50">
        <f t="shared" si="6"/>
        <v>374400</v>
      </c>
      <c r="P78" s="50">
        <f t="shared" si="7"/>
        <v>284400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5013</v>
      </c>
      <c r="E83" s="98"/>
      <c r="F83" s="24"/>
      <c r="G83" s="16">
        <f t="shared" si="8"/>
        <v>5013</v>
      </c>
      <c r="H83" s="24"/>
      <c r="I83" s="95"/>
      <c r="J83" s="76">
        <f t="shared" si="5"/>
        <v>5013</v>
      </c>
      <c r="K83" s="81">
        <v>0</v>
      </c>
      <c r="L83" s="76">
        <f t="shared" si="2"/>
        <v>5013</v>
      </c>
      <c r="M83" s="85"/>
      <c r="N83" s="100">
        <v>64</v>
      </c>
      <c r="O83" s="50">
        <f t="shared" si="6"/>
        <v>320832</v>
      </c>
      <c r="P83" s="50">
        <f t="shared" si="7"/>
        <v>320832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17</v>
      </c>
      <c r="E84" s="89"/>
      <c r="F84" s="12"/>
      <c r="G84" s="45">
        <f t="shared" si="8"/>
        <v>17</v>
      </c>
      <c r="H84" s="12"/>
      <c r="I84" s="94"/>
      <c r="J84" s="82">
        <f t="shared" ref="J84:J97" si="9">D84+E84-H84-I84</f>
        <v>17</v>
      </c>
      <c r="K84" s="96">
        <v>0</v>
      </c>
      <c r="L84" s="82">
        <f t="shared" si="2"/>
        <v>17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-19</v>
      </c>
      <c r="E85" s="90"/>
      <c r="F85" s="11"/>
      <c r="G85" s="16">
        <f t="shared" si="8"/>
        <v>-19</v>
      </c>
      <c r="H85" s="88"/>
      <c r="I85" s="11"/>
      <c r="J85" s="76">
        <f t="shared" si="9"/>
        <v>-19</v>
      </c>
      <c r="K85" s="97">
        <v>500</v>
      </c>
      <c r="L85" s="76">
        <f t="shared" si="2"/>
        <v>481</v>
      </c>
      <c r="M85" s="86"/>
      <c r="N85" s="99">
        <v>350</v>
      </c>
      <c r="O85" s="50">
        <f t="shared" si="6"/>
        <v>168350</v>
      </c>
      <c r="P85" s="50">
        <f t="shared" si="7"/>
        <v>-6650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428</v>
      </c>
      <c r="E86" s="90"/>
      <c r="F86" s="11"/>
      <c r="G86" s="16">
        <f t="shared" si="8"/>
        <v>428</v>
      </c>
      <c r="H86" s="88">
        <v>27</v>
      </c>
      <c r="I86" s="11"/>
      <c r="J86" s="76">
        <f t="shared" si="9"/>
        <v>401</v>
      </c>
      <c r="K86" s="97">
        <v>300</v>
      </c>
      <c r="L86" s="76">
        <f t="shared" si="2"/>
        <v>701</v>
      </c>
      <c r="M86" s="84"/>
      <c r="N86" s="99">
        <v>165</v>
      </c>
      <c r="O86" s="50">
        <f t="shared" si="6"/>
        <v>115665</v>
      </c>
      <c r="P86" s="50">
        <f t="shared" si="7"/>
        <v>66165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260</v>
      </c>
      <c r="E87" s="11"/>
      <c r="F87" s="11"/>
      <c r="G87" s="16">
        <f t="shared" si="8"/>
        <v>260</v>
      </c>
      <c r="H87" s="88"/>
      <c r="I87" s="11"/>
      <c r="J87" s="76">
        <f t="shared" si="9"/>
        <v>260</v>
      </c>
      <c r="K87" s="97">
        <v>-1</v>
      </c>
      <c r="L87" s="76">
        <f t="shared" si="2"/>
        <v>259</v>
      </c>
      <c r="M87" s="86"/>
      <c r="N87" s="99">
        <v>630</v>
      </c>
      <c r="O87" s="50">
        <f t="shared" si="6"/>
        <v>163170</v>
      </c>
      <c r="P87" s="50">
        <f t="shared" si="7"/>
        <v>163800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26</v>
      </c>
      <c r="E88" s="11"/>
      <c r="F88" s="11"/>
      <c r="G88" s="16">
        <f t="shared" si="8"/>
        <v>26</v>
      </c>
      <c r="H88" s="88"/>
      <c r="I88" s="11"/>
      <c r="J88" s="76">
        <f t="shared" si="9"/>
        <v>26</v>
      </c>
      <c r="K88" s="97">
        <v>0</v>
      </c>
      <c r="L88" s="76">
        <f t="shared" ref="L88:L97" si="10">J88+K88</f>
        <v>26</v>
      </c>
      <c r="M88" s="86"/>
      <c r="N88" s="99">
        <v>285</v>
      </c>
      <c r="O88" s="50">
        <f t="shared" si="6"/>
        <v>7410</v>
      </c>
      <c r="P88" s="50">
        <f t="shared" si="7"/>
        <v>7410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453</v>
      </c>
      <c r="E92" s="88"/>
      <c r="F92" s="11"/>
      <c r="G92" s="16">
        <f t="shared" si="8"/>
        <v>453</v>
      </c>
      <c r="H92" s="88">
        <v>22</v>
      </c>
      <c r="I92" s="11"/>
      <c r="J92" s="83">
        <f t="shared" si="9"/>
        <v>431</v>
      </c>
      <c r="K92" s="97">
        <v>0</v>
      </c>
      <c r="L92" s="76">
        <f t="shared" si="10"/>
        <v>431</v>
      </c>
      <c r="M92" s="86"/>
      <c r="N92" s="99">
        <v>113</v>
      </c>
      <c r="O92" s="50">
        <f t="shared" si="6"/>
        <v>48703</v>
      </c>
      <c r="P92" s="50">
        <f t="shared" si="7"/>
        <v>48703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245</v>
      </c>
      <c r="E94" s="88"/>
      <c r="F94" s="11"/>
      <c r="G94" s="16">
        <f t="shared" si="8"/>
        <v>245</v>
      </c>
      <c r="H94" s="88">
        <v>5</v>
      </c>
      <c r="I94" s="11"/>
      <c r="J94" s="83">
        <f t="shared" si="9"/>
        <v>240</v>
      </c>
      <c r="K94" s="97">
        <v>-50</v>
      </c>
      <c r="L94" s="76">
        <f t="shared" si="10"/>
        <v>190</v>
      </c>
      <c r="M94" s="86"/>
      <c r="N94" s="99">
        <v>950</v>
      </c>
      <c r="O94" s="50">
        <f t="shared" si="6"/>
        <v>180500</v>
      </c>
      <c r="P94" s="50">
        <f t="shared" si="7"/>
        <v>228000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1464453.2549999999</v>
      </c>
      <c r="E98" s="27">
        <f t="shared" ref="E98:L98" si="11">SUM(E6:E97)</f>
        <v>43381</v>
      </c>
      <c r="F98" s="27">
        <f t="shared" si="11"/>
        <v>0</v>
      </c>
      <c r="G98" s="27">
        <f t="shared" si="11"/>
        <v>1507834.2549999999</v>
      </c>
      <c r="H98" s="27">
        <f t="shared" si="11"/>
        <v>45714</v>
      </c>
      <c r="I98" s="27">
        <f t="shared" si="11"/>
        <v>0</v>
      </c>
      <c r="J98" s="27">
        <f t="shared" si="11"/>
        <v>1462120.2549999999</v>
      </c>
      <c r="K98" s="27">
        <f t="shared" si="11"/>
        <v>-575727</v>
      </c>
      <c r="L98" s="27">
        <f t="shared" si="11"/>
        <v>886393.25499999989</v>
      </c>
      <c r="M98" s="27">
        <f>SUM(M6:M96)</f>
        <v>0</v>
      </c>
      <c r="N98" s="51"/>
      <c r="O98" s="51">
        <f t="shared" ref="O98" si="12">SUM(O6:O97)</f>
        <v>32746267.030000005</v>
      </c>
      <c r="P98" s="51">
        <f>SUM(P6:P97)</f>
        <v>44915117.730000004</v>
      </c>
      <c r="Q98" s="57">
        <f>O98-P98</f>
        <v>-12168850.699999999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6" t="s">
        <v>115</v>
      </c>
      <c r="M100" s="116"/>
      <c r="O100" s="55" t="s">
        <v>110</v>
      </c>
      <c r="P100" s="54">
        <v>79909923</v>
      </c>
    </row>
    <row r="101" spans="1:22">
      <c r="P101" s="54">
        <f>P100-P98</f>
        <v>34994805.269999996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J6" sqref="J6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134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f>24009-10000</f>
        <v>14009</v>
      </c>
      <c r="E6" s="15">
        <f>15650</f>
        <v>15650</v>
      </c>
      <c r="F6" s="16">
        <v>130</v>
      </c>
      <c r="G6" s="15">
        <f>D6+E6-F6</f>
        <v>29529</v>
      </c>
      <c r="H6" s="15">
        <v>10360</v>
      </c>
      <c r="I6" s="16"/>
      <c r="J6" s="15">
        <f>G6-H6-I6</f>
        <v>19169</v>
      </c>
      <c r="K6" s="15">
        <v>0</v>
      </c>
      <c r="L6" s="15">
        <f>J6+K6</f>
        <v>19169</v>
      </c>
      <c r="M6" s="30"/>
      <c r="N6" s="99">
        <v>21.5</v>
      </c>
      <c r="O6" s="50">
        <f>L6*N6</f>
        <v>412133.5</v>
      </c>
      <c r="P6" s="50">
        <f>J6*N6</f>
        <v>412133.5</v>
      </c>
      <c r="Q6" s="43">
        <f>O6-P6</f>
        <v>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76895</v>
      </c>
      <c r="E7" s="15"/>
      <c r="F7" s="15"/>
      <c r="G7" s="15">
        <f t="shared" ref="G7:G80" si="0">D7+E7-F7</f>
        <v>76895</v>
      </c>
      <c r="H7" s="15"/>
      <c r="I7" s="15"/>
      <c r="J7" s="15">
        <f t="shared" ref="J7:J70" si="1">G7-H7-I7</f>
        <v>76895</v>
      </c>
      <c r="K7" s="15">
        <v>0</v>
      </c>
      <c r="L7" s="15">
        <f t="shared" ref="L7:L87" si="2">J7+K7</f>
        <v>76895</v>
      </c>
      <c r="M7" s="30" t="s">
        <v>75</v>
      </c>
      <c r="N7" s="99">
        <v>38</v>
      </c>
      <c r="O7" s="50">
        <f t="shared" ref="O7:O70" si="3">L7*N7</f>
        <v>2922010</v>
      </c>
      <c r="P7" s="50">
        <f t="shared" ref="P7:P70" si="4">J7*N7</f>
        <v>2922010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11403</v>
      </c>
      <c r="E8" s="15"/>
      <c r="F8" s="15"/>
      <c r="G8" s="15">
        <f t="shared" si="0"/>
        <v>11403</v>
      </c>
      <c r="H8" s="15">
        <v>9195</v>
      </c>
      <c r="I8" s="15"/>
      <c r="J8" s="15">
        <f t="shared" si="1"/>
        <v>2208</v>
      </c>
      <c r="K8" s="15">
        <v>5000</v>
      </c>
      <c r="L8" s="15">
        <f t="shared" si="2"/>
        <v>7208</v>
      </c>
      <c r="M8" s="30" t="s">
        <v>75</v>
      </c>
      <c r="N8" s="99">
        <v>12</v>
      </c>
      <c r="O8" s="50">
        <f t="shared" si="3"/>
        <v>86496</v>
      </c>
      <c r="P8" s="50">
        <f t="shared" si="4"/>
        <v>26496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623123</v>
      </c>
      <c r="E10" s="15">
        <f>18280+17450+18470</f>
        <v>54200</v>
      </c>
      <c r="F10" s="15">
        <f>47+44+47</f>
        <v>138</v>
      </c>
      <c r="G10" s="15">
        <f t="shared" si="0"/>
        <v>677185</v>
      </c>
      <c r="H10" s="15"/>
      <c r="I10" s="15"/>
      <c r="J10" s="15">
        <f t="shared" si="1"/>
        <v>677185</v>
      </c>
      <c r="K10" s="15">
        <v>-607000</v>
      </c>
      <c r="L10" s="15">
        <f t="shared" si="2"/>
        <v>70185</v>
      </c>
      <c r="M10" s="30"/>
      <c r="N10" s="99">
        <v>23.09</v>
      </c>
      <c r="O10" s="50">
        <f t="shared" si="3"/>
        <v>1620571.65</v>
      </c>
      <c r="P10" s="50">
        <f t="shared" si="4"/>
        <v>15636201.65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-3776</v>
      </c>
      <c r="E11" s="15"/>
      <c r="F11" s="15"/>
      <c r="G11" s="15">
        <f t="shared" si="0"/>
        <v>-3776</v>
      </c>
      <c r="H11" s="15">
        <v>2034</v>
      </c>
      <c r="I11" s="15"/>
      <c r="J11" s="15">
        <f t="shared" si="1"/>
        <v>-5810</v>
      </c>
      <c r="K11" s="15">
        <v>2000</v>
      </c>
      <c r="L11" s="15">
        <f t="shared" si="2"/>
        <v>-3810</v>
      </c>
      <c r="M11" s="30" t="s">
        <v>75</v>
      </c>
      <c r="N11" s="99">
        <v>16.5</v>
      </c>
      <c r="O11" s="50">
        <f t="shared" si="3"/>
        <v>-62865</v>
      </c>
      <c r="P11" s="50">
        <f t="shared" si="4"/>
        <v>-95865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1820</v>
      </c>
      <c r="E13" s="15"/>
      <c r="F13" s="15"/>
      <c r="G13" s="15">
        <f t="shared" si="0"/>
        <v>1820</v>
      </c>
      <c r="H13" s="15">
        <v>5180</v>
      </c>
      <c r="I13" s="15"/>
      <c r="J13" s="15">
        <f t="shared" si="1"/>
        <v>-3360</v>
      </c>
      <c r="K13" s="15">
        <v>5000</v>
      </c>
      <c r="L13" s="15">
        <f t="shared" si="2"/>
        <v>1640</v>
      </c>
      <c r="M13" s="30" t="s">
        <v>75</v>
      </c>
      <c r="N13" s="99">
        <v>27.5</v>
      </c>
      <c r="O13" s="50">
        <f t="shared" si="3"/>
        <v>45100</v>
      </c>
      <c r="P13" s="50">
        <f t="shared" si="4"/>
        <v>-92400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16101</v>
      </c>
      <c r="E14" s="15"/>
      <c r="F14" s="15"/>
      <c r="G14" s="15">
        <f t="shared" si="0"/>
        <v>16101</v>
      </c>
      <c r="H14" s="15"/>
      <c r="I14" s="16"/>
      <c r="J14" s="15">
        <f t="shared" si="1"/>
        <v>16101</v>
      </c>
      <c r="K14" s="15">
        <v>-1000</v>
      </c>
      <c r="L14" s="15">
        <f t="shared" si="2"/>
        <v>15101</v>
      </c>
      <c r="M14" s="30"/>
      <c r="N14" s="99">
        <v>59</v>
      </c>
      <c r="O14" s="50">
        <f t="shared" si="3"/>
        <v>890959</v>
      </c>
      <c r="P14" s="50">
        <f t="shared" si="4"/>
        <v>949959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35411</v>
      </c>
      <c r="E16" s="29"/>
      <c r="F16" s="15"/>
      <c r="G16" s="15">
        <f t="shared" si="0"/>
        <v>35411</v>
      </c>
      <c r="H16" s="15"/>
      <c r="I16" s="16"/>
      <c r="J16" s="15">
        <f t="shared" si="1"/>
        <v>35411</v>
      </c>
      <c r="K16" s="15">
        <v>0</v>
      </c>
      <c r="L16" s="15">
        <f>J16+K16</f>
        <v>35411</v>
      </c>
      <c r="M16" s="30"/>
      <c r="N16" s="99">
        <v>43.25</v>
      </c>
      <c r="O16" s="50">
        <f t="shared" si="3"/>
        <v>1531525.75</v>
      </c>
      <c r="P16" s="50">
        <f t="shared" si="4"/>
        <v>1531525.75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20654</v>
      </c>
      <c r="E19" s="15"/>
      <c r="F19" s="15"/>
      <c r="G19" s="15">
        <f t="shared" si="0"/>
        <v>20654</v>
      </c>
      <c r="H19" s="15">
        <v>1720</v>
      </c>
      <c r="I19" s="16"/>
      <c r="J19" s="15">
        <f t="shared" si="1"/>
        <v>18934</v>
      </c>
      <c r="K19" s="15">
        <v>1000</v>
      </c>
      <c r="L19" s="15">
        <f t="shared" si="2"/>
        <v>19934</v>
      </c>
      <c r="M19" s="30"/>
      <c r="N19" s="99">
        <v>22.8</v>
      </c>
      <c r="O19" s="50">
        <f t="shared" si="3"/>
        <v>454495.2</v>
      </c>
      <c r="P19" s="50">
        <f t="shared" si="4"/>
        <v>431695.2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13367</v>
      </c>
      <c r="E20" s="15"/>
      <c r="F20" s="15"/>
      <c r="G20" s="15">
        <f t="shared" si="0"/>
        <v>13367</v>
      </c>
      <c r="H20" s="15"/>
      <c r="I20" s="16"/>
      <c r="J20" s="15">
        <f t="shared" si="1"/>
        <v>13367</v>
      </c>
      <c r="K20" s="15">
        <v>0</v>
      </c>
      <c r="L20" s="15">
        <f t="shared" si="2"/>
        <v>13367</v>
      </c>
      <c r="M20" s="30" t="s">
        <v>75</v>
      </c>
      <c r="N20" s="99">
        <v>20</v>
      </c>
      <c r="O20" s="50">
        <f t="shared" si="3"/>
        <v>267340</v>
      </c>
      <c r="P20" s="50">
        <f t="shared" si="4"/>
        <v>267340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9266</v>
      </c>
      <c r="E21" s="15"/>
      <c r="F21" s="15"/>
      <c r="G21" s="15">
        <f t="shared" si="0"/>
        <v>9266</v>
      </c>
      <c r="H21" s="15">
        <v>252</v>
      </c>
      <c r="I21" s="16"/>
      <c r="J21" s="15">
        <f t="shared" si="1"/>
        <v>9014</v>
      </c>
      <c r="K21" s="15">
        <v>0</v>
      </c>
      <c r="L21" s="15">
        <f t="shared" si="2"/>
        <v>9014</v>
      </c>
      <c r="M21" s="30"/>
      <c r="N21" s="99">
        <v>8.5</v>
      </c>
      <c r="O21" s="50">
        <f t="shared" si="3"/>
        <v>76619</v>
      </c>
      <c r="P21" s="50">
        <f t="shared" si="4"/>
        <v>76619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259266</v>
      </c>
      <c r="E22" s="15"/>
      <c r="F22" s="15"/>
      <c r="G22" s="15">
        <f t="shared" si="0"/>
        <v>259266</v>
      </c>
      <c r="H22" s="15"/>
      <c r="I22" s="16"/>
      <c r="J22" s="15">
        <f t="shared" si="1"/>
        <v>259266</v>
      </c>
      <c r="K22" s="15">
        <v>8000</v>
      </c>
      <c r="L22" s="15">
        <f t="shared" si="2"/>
        <v>267266</v>
      </c>
      <c r="M22" s="30"/>
      <c r="N22" s="99">
        <v>8.5</v>
      </c>
      <c r="O22" s="50">
        <f t="shared" si="3"/>
        <v>2271761</v>
      </c>
      <c r="P22" s="50">
        <f t="shared" si="4"/>
        <v>2203761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6712</v>
      </c>
      <c r="E23" s="15"/>
      <c r="F23" s="15"/>
      <c r="G23" s="15">
        <f t="shared" si="0"/>
        <v>6712</v>
      </c>
      <c r="H23" s="15"/>
      <c r="I23" s="16"/>
      <c r="J23" s="15">
        <f t="shared" si="1"/>
        <v>6712</v>
      </c>
      <c r="K23" s="15">
        <v>1500</v>
      </c>
      <c r="L23" s="15">
        <f t="shared" si="2"/>
        <v>8212</v>
      </c>
      <c r="M23" s="30" t="s">
        <v>75</v>
      </c>
      <c r="N23" s="99">
        <v>82</v>
      </c>
      <c r="O23" s="50">
        <f t="shared" si="3"/>
        <v>673384</v>
      </c>
      <c r="P23" s="50">
        <f t="shared" si="4"/>
        <v>550384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20764</v>
      </c>
      <c r="E24" s="29"/>
      <c r="F24" s="29"/>
      <c r="G24" s="15">
        <f t="shared" si="0"/>
        <v>20764</v>
      </c>
      <c r="H24" s="15"/>
      <c r="I24" s="16"/>
      <c r="J24" s="15">
        <f t="shared" si="1"/>
        <v>20764</v>
      </c>
      <c r="K24" s="15">
        <v>2713</v>
      </c>
      <c r="L24" s="15">
        <f t="shared" si="2"/>
        <v>23477</v>
      </c>
      <c r="M24" s="30" t="s">
        <v>75</v>
      </c>
      <c r="N24" s="99">
        <v>22.1</v>
      </c>
      <c r="O24" s="50">
        <f t="shared" si="3"/>
        <v>518841.7</v>
      </c>
      <c r="P24" s="50">
        <f t="shared" si="4"/>
        <v>458884.4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95</v>
      </c>
      <c r="E26" s="15">
        <v>12210</v>
      </c>
      <c r="F26" s="15">
        <v>210</v>
      </c>
      <c r="G26" s="15">
        <f t="shared" si="0"/>
        <v>12095</v>
      </c>
      <c r="H26" s="15"/>
      <c r="I26" s="16"/>
      <c r="J26" s="76">
        <f t="shared" si="1"/>
        <v>12095</v>
      </c>
      <c r="K26" s="76">
        <v>0</v>
      </c>
      <c r="L26" s="76">
        <f t="shared" si="2"/>
        <v>12095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10051</v>
      </c>
      <c r="E31" s="15"/>
      <c r="F31" s="15"/>
      <c r="G31" s="15">
        <f t="shared" si="0"/>
        <v>10051</v>
      </c>
      <c r="H31" s="15"/>
      <c r="I31" s="16"/>
      <c r="J31" s="76">
        <f t="shared" si="1"/>
        <v>10051</v>
      </c>
      <c r="K31" s="76">
        <v>0</v>
      </c>
      <c r="L31" s="76">
        <f t="shared" si="2"/>
        <v>10051</v>
      </c>
      <c r="M31" s="78"/>
      <c r="N31" s="99">
        <v>60</v>
      </c>
      <c r="O31" s="50">
        <f t="shared" si="3"/>
        <v>603060</v>
      </c>
      <c r="P31" s="50">
        <f t="shared" si="4"/>
        <v>603060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74</v>
      </c>
      <c r="D32" s="15">
        <v>0</v>
      </c>
      <c r="E32" s="15"/>
      <c r="F32" s="15"/>
      <c r="G32" s="15">
        <f t="shared" si="0"/>
        <v>0</v>
      </c>
      <c r="H32" s="15"/>
      <c r="I32" s="16"/>
      <c r="J32" s="76">
        <f t="shared" si="1"/>
        <v>0</v>
      </c>
      <c r="K32" s="76"/>
      <c r="L32" s="76">
        <f t="shared" si="2"/>
        <v>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17640</v>
      </c>
      <c r="E33" s="15"/>
      <c r="F33" s="15"/>
      <c r="G33" s="15">
        <f t="shared" si="0"/>
        <v>17640</v>
      </c>
      <c r="H33" s="15">
        <v>237</v>
      </c>
      <c r="I33" s="16"/>
      <c r="J33" s="76">
        <f t="shared" si="1"/>
        <v>17403</v>
      </c>
      <c r="K33" s="76">
        <v>206</v>
      </c>
      <c r="L33" s="76">
        <f t="shared" si="2"/>
        <v>17609</v>
      </c>
      <c r="M33" s="30"/>
      <c r="N33" s="99">
        <v>12.49</v>
      </c>
      <c r="O33" s="50">
        <f t="shared" si="3"/>
        <v>219936.41</v>
      </c>
      <c r="P33" s="50">
        <f t="shared" si="4"/>
        <v>217363.47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262</v>
      </c>
      <c r="E34" s="15"/>
      <c r="F34" s="15"/>
      <c r="G34" s="15">
        <f t="shared" si="0"/>
        <v>262</v>
      </c>
      <c r="H34" s="15"/>
      <c r="I34" s="16"/>
      <c r="J34" s="76">
        <f t="shared" si="1"/>
        <v>262</v>
      </c>
      <c r="K34" s="76">
        <v>-50</v>
      </c>
      <c r="L34" s="76">
        <f t="shared" si="2"/>
        <v>212</v>
      </c>
      <c r="M34" s="77"/>
      <c r="N34" s="99">
        <v>435</v>
      </c>
      <c r="O34" s="50">
        <f t="shared" si="3"/>
        <v>92220</v>
      </c>
      <c r="P34" s="50">
        <f t="shared" si="4"/>
        <v>113970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194</v>
      </c>
      <c r="E35" s="15"/>
      <c r="F35" s="15"/>
      <c r="G35" s="15">
        <f t="shared" si="0"/>
        <v>194</v>
      </c>
      <c r="H35" s="15"/>
      <c r="I35" s="16"/>
      <c r="J35" s="76">
        <f>G35-H35-I35</f>
        <v>194</v>
      </c>
      <c r="K35" s="76">
        <v>-50</v>
      </c>
      <c r="L35" s="76">
        <f t="shared" si="2"/>
        <v>144</v>
      </c>
      <c r="M35" s="84"/>
      <c r="N35" s="99">
        <v>730</v>
      </c>
      <c r="O35" s="50">
        <f t="shared" si="3"/>
        <v>105120</v>
      </c>
      <c r="P35" s="50">
        <f t="shared" si="4"/>
        <v>141620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385</v>
      </c>
      <c r="E36" s="15"/>
      <c r="F36" s="15"/>
      <c r="G36" s="15">
        <f t="shared" si="0"/>
        <v>385</v>
      </c>
      <c r="H36" s="16"/>
      <c r="I36" s="16"/>
      <c r="J36" s="76">
        <f t="shared" si="1"/>
        <v>385</v>
      </c>
      <c r="K36" s="76">
        <v>-125</v>
      </c>
      <c r="L36" s="76">
        <f t="shared" si="2"/>
        <v>260</v>
      </c>
      <c r="M36" s="84"/>
      <c r="N36" s="99">
        <v>155</v>
      </c>
      <c r="O36" s="50">
        <f t="shared" si="3"/>
        <v>40300</v>
      </c>
      <c r="P36" s="50">
        <f t="shared" si="4"/>
        <v>59675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1441</v>
      </c>
      <c r="E37" s="15"/>
      <c r="F37" s="15"/>
      <c r="G37" s="15">
        <f t="shared" si="0"/>
        <v>1441</v>
      </c>
      <c r="H37" s="16"/>
      <c r="I37" s="16"/>
      <c r="J37" s="76">
        <f t="shared" si="1"/>
        <v>1441</v>
      </c>
      <c r="K37" s="76">
        <v>0</v>
      </c>
      <c r="L37" s="76">
        <f t="shared" si="2"/>
        <v>1441</v>
      </c>
      <c r="M37" s="84"/>
      <c r="N37" s="99">
        <v>125</v>
      </c>
      <c r="O37" s="50">
        <f t="shared" si="3"/>
        <v>180125</v>
      </c>
      <c r="P37" s="50">
        <f t="shared" si="4"/>
        <v>180125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255</v>
      </c>
      <c r="E39" s="15"/>
      <c r="F39" s="15"/>
      <c r="G39" s="15">
        <f t="shared" si="0"/>
        <v>255</v>
      </c>
      <c r="H39" s="16"/>
      <c r="I39" s="16"/>
      <c r="J39" s="76">
        <f t="shared" si="1"/>
        <v>255</v>
      </c>
      <c r="K39" s="76">
        <v>-70</v>
      </c>
      <c r="L39" s="76">
        <f t="shared" si="2"/>
        <v>185</v>
      </c>
      <c r="M39" s="84"/>
      <c r="N39" s="99">
        <v>975</v>
      </c>
      <c r="O39" s="50">
        <f t="shared" si="3"/>
        <v>180375</v>
      </c>
      <c r="P39" s="50">
        <f t="shared" si="4"/>
        <v>248625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358</v>
      </c>
      <c r="E41" s="15"/>
      <c r="F41" s="15"/>
      <c r="G41" s="15">
        <f t="shared" si="0"/>
        <v>358</v>
      </c>
      <c r="H41" s="16"/>
      <c r="I41" s="16"/>
      <c r="J41" s="76">
        <f t="shared" si="1"/>
        <v>358</v>
      </c>
      <c r="K41" s="76">
        <v>500</v>
      </c>
      <c r="L41" s="76">
        <f t="shared" si="2"/>
        <v>858</v>
      </c>
      <c r="M41" s="84"/>
      <c r="N41" s="99">
        <v>125</v>
      </c>
      <c r="O41" s="50">
        <f t="shared" si="3"/>
        <v>107250</v>
      </c>
      <c r="P41" s="50">
        <f t="shared" si="4"/>
        <v>44750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10956</v>
      </c>
      <c r="E44" s="15"/>
      <c r="F44" s="15"/>
      <c r="G44" s="15">
        <f t="shared" si="0"/>
        <v>10956</v>
      </c>
      <c r="H44" s="16"/>
      <c r="I44" s="16"/>
      <c r="J44" s="76">
        <f t="shared" si="1"/>
        <v>10956</v>
      </c>
      <c r="K44" s="76">
        <v>2200</v>
      </c>
      <c r="L44" s="76">
        <f t="shared" si="2"/>
        <v>13156</v>
      </c>
      <c r="M44" s="84"/>
      <c r="N44" s="99">
        <v>80</v>
      </c>
      <c r="O44" s="50">
        <f t="shared" si="3"/>
        <v>1052480</v>
      </c>
      <c r="P44" s="50">
        <f t="shared" si="4"/>
        <v>876480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17233</v>
      </c>
      <c r="E46" s="15"/>
      <c r="F46" s="15"/>
      <c r="G46" s="15">
        <f t="shared" si="0"/>
        <v>17233</v>
      </c>
      <c r="H46" s="16"/>
      <c r="I46" s="16"/>
      <c r="J46" s="76">
        <f t="shared" si="1"/>
        <v>17233</v>
      </c>
      <c r="K46" s="76">
        <v>-180</v>
      </c>
      <c r="L46" s="76">
        <f t="shared" si="2"/>
        <v>17053</v>
      </c>
      <c r="M46" s="84"/>
      <c r="N46" s="99">
        <v>275</v>
      </c>
      <c r="O46" s="50">
        <f t="shared" si="3"/>
        <v>4689575</v>
      </c>
      <c r="P46" s="50">
        <f t="shared" si="4"/>
        <v>4739075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0</v>
      </c>
      <c r="E49" s="15"/>
      <c r="F49" s="15"/>
      <c r="G49" s="15">
        <f t="shared" si="0"/>
        <v>0</v>
      </c>
      <c r="H49" s="15"/>
      <c r="I49" s="16"/>
      <c r="J49" s="76">
        <f t="shared" si="1"/>
        <v>0</v>
      </c>
      <c r="K49" s="76">
        <v>0</v>
      </c>
      <c r="L49" s="76">
        <f t="shared" si="2"/>
        <v>0</v>
      </c>
      <c r="M49" s="84"/>
      <c r="N49" s="99">
        <v>800</v>
      </c>
      <c r="O49" s="50">
        <f t="shared" si="3"/>
        <v>0</v>
      </c>
      <c r="P49" s="50">
        <f t="shared" si="4"/>
        <v>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112</v>
      </c>
      <c r="E53" s="15"/>
      <c r="F53" s="15"/>
      <c r="G53" s="15">
        <f t="shared" si="0"/>
        <v>112</v>
      </c>
      <c r="H53" s="15"/>
      <c r="I53" s="20"/>
      <c r="J53" s="76">
        <f t="shared" si="1"/>
        <v>112</v>
      </c>
      <c r="K53" s="76">
        <v>0</v>
      </c>
      <c r="L53" s="76">
        <f t="shared" si="2"/>
        <v>112</v>
      </c>
      <c r="M53" s="84"/>
      <c r="N53" s="99">
        <v>1600</v>
      </c>
      <c r="O53" s="50">
        <f t="shared" si="3"/>
        <v>179200</v>
      </c>
      <c r="P53" s="50">
        <f t="shared" si="4"/>
        <v>179200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780</v>
      </c>
      <c r="E54" s="15"/>
      <c r="F54" s="15"/>
      <c r="G54" s="15">
        <f t="shared" si="0"/>
        <v>780</v>
      </c>
      <c r="H54" s="15"/>
      <c r="I54" s="16"/>
      <c r="J54" s="76">
        <f t="shared" si="1"/>
        <v>780</v>
      </c>
      <c r="K54" s="76">
        <v>-350</v>
      </c>
      <c r="L54" s="76">
        <f t="shared" si="2"/>
        <v>430</v>
      </c>
      <c r="M54" s="84"/>
      <c r="N54" s="99">
        <v>375</v>
      </c>
      <c r="O54" s="50">
        <f t="shared" si="3"/>
        <v>161250</v>
      </c>
      <c r="P54" s="50">
        <f t="shared" si="4"/>
        <v>292500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143</v>
      </c>
      <c r="E55" s="15"/>
      <c r="F55" s="15"/>
      <c r="G55" s="15">
        <f t="shared" si="0"/>
        <v>143</v>
      </c>
      <c r="H55" s="15"/>
      <c r="I55" s="21"/>
      <c r="J55" s="76">
        <f t="shared" si="1"/>
        <v>143</v>
      </c>
      <c r="K55" s="76">
        <v>9</v>
      </c>
      <c r="L55" s="76">
        <f t="shared" si="2"/>
        <v>152</v>
      </c>
      <c r="M55" s="30"/>
      <c r="N55" s="99">
        <v>425</v>
      </c>
      <c r="O55" s="50">
        <f t="shared" si="3"/>
        <v>64600</v>
      </c>
      <c r="P55" s="50">
        <f t="shared" si="4"/>
        <v>60775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284</v>
      </c>
      <c r="E56" s="15"/>
      <c r="F56" s="15"/>
      <c r="G56" s="15">
        <f t="shared" si="0"/>
        <v>284</v>
      </c>
      <c r="H56" s="15"/>
      <c r="I56" s="22"/>
      <c r="J56" s="76">
        <f t="shared" si="1"/>
        <v>284</v>
      </c>
      <c r="K56" s="76">
        <v>-220</v>
      </c>
      <c r="L56" s="76">
        <f t="shared" si="2"/>
        <v>64</v>
      </c>
      <c r="M56" s="84"/>
      <c r="N56" s="99">
        <v>390</v>
      </c>
      <c r="O56" s="50">
        <f t="shared" si="3"/>
        <v>24960</v>
      </c>
      <c r="P56" s="50">
        <f t="shared" si="4"/>
        <v>110760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119</v>
      </c>
      <c r="E58" s="15"/>
      <c r="F58" s="15"/>
      <c r="G58" s="15">
        <f t="shared" si="0"/>
        <v>119</v>
      </c>
      <c r="H58" s="15"/>
      <c r="I58" s="16"/>
      <c r="J58" s="76">
        <f t="shared" si="1"/>
        <v>119</v>
      </c>
      <c r="K58" s="76">
        <v>0</v>
      </c>
      <c r="L58" s="76">
        <f t="shared" si="2"/>
        <v>119</v>
      </c>
      <c r="M58" s="30"/>
      <c r="N58" s="99">
        <v>132</v>
      </c>
      <c r="O58" s="50">
        <f t="shared" si="3"/>
        <v>15708</v>
      </c>
      <c r="P58" s="50">
        <f t="shared" si="4"/>
        <v>15708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377</v>
      </c>
      <c r="E59" s="15"/>
      <c r="F59" s="15"/>
      <c r="G59" s="15">
        <f t="shared" si="0"/>
        <v>377</v>
      </c>
      <c r="H59" s="15"/>
      <c r="I59" s="16"/>
      <c r="J59" s="76">
        <f t="shared" si="1"/>
        <v>377</v>
      </c>
      <c r="K59" s="76">
        <v>0</v>
      </c>
      <c r="L59" s="76">
        <f t="shared" si="2"/>
        <v>377</v>
      </c>
      <c r="M59" s="84"/>
      <c r="N59" s="99">
        <v>570</v>
      </c>
      <c r="O59" s="50">
        <f t="shared" si="3"/>
        <v>214890</v>
      </c>
      <c r="P59" s="50">
        <f t="shared" si="4"/>
        <v>214890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17010</v>
      </c>
      <c r="E62" s="15"/>
      <c r="F62" s="15"/>
      <c r="G62" s="15">
        <f t="shared" si="0"/>
        <v>17010</v>
      </c>
      <c r="H62" s="15"/>
      <c r="I62" s="16"/>
      <c r="J62" s="76">
        <f t="shared" si="1"/>
        <v>17010</v>
      </c>
      <c r="K62" s="76">
        <v>187</v>
      </c>
      <c r="L62" s="76">
        <f t="shared" si="2"/>
        <v>17197</v>
      </c>
      <c r="M62" s="30"/>
      <c r="N62" s="99">
        <v>87.38</v>
      </c>
      <c r="O62" s="50">
        <f t="shared" si="3"/>
        <v>1502673.8599999999</v>
      </c>
      <c r="P62" s="50">
        <f t="shared" si="4"/>
        <v>1486333.7999999998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35</v>
      </c>
      <c r="E63" s="15"/>
      <c r="F63" s="15"/>
      <c r="G63" s="15">
        <f t="shared" si="0"/>
        <v>35</v>
      </c>
      <c r="H63" s="15"/>
      <c r="I63" s="16"/>
      <c r="J63" s="76">
        <f t="shared" si="1"/>
        <v>35</v>
      </c>
      <c r="K63" s="76">
        <v>300</v>
      </c>
      <c r="L63" s="76">
        <f t="shared" si="2"/>
        <v>335</v>
      </c>
      <c r="M63" s="84"/>
      <c r="N63" s="99">
        <v>290</v>
      </c>
      <c r="O63" s="50">
        <f t="shared" si="3"/>
        <v>97150</v>
      </c>
      <c r="P63" s="50">
        <f t="shared" si="4"/>
        <v>10150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121</v>
      </c>
      <c r="E64" s="23"/>
      <c r="F64" s="23"/>
      <c r="G64" s="23">
        <f t="shared" si="0"/>
        <v>121</v>
      </c>
      <c r="H64" s="23">
        <v>116</v>
      </c>
      <c r="I64" s="23"/>
      <c r="J64" s="76">
        <f t="shared" si="1"/>
        <v>5</v>
      </c>
      <c r="K64" s="79">
        <v>100</v>
      </c>
      <c r="L64" s="76">
        <f t="shared" si="2"/>
        <v>105</v>
      </c>
      <c r="M64" s="30"/>
      <c r="N64" s="99">
        <v>70</v>
      </c>
      <c r="O64" s="50">
        <f t="shared" si="3"/>
        <v>7350</v>
      </c>
      <c r="P64" s="50">
        <f t="shared" si="4"/>
        <v>350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995</v>
      </c>
      <c r="E65" s="24"/>
      <c r="F65" s="24"/>
      <c r="G65" s="16">
        <f t="shared" si="0"/>
        <v>995</v>
      </c>
      <c r="H65" s="24"/>
      <c r="I65" s="24"/>
      <c r="J65" s="76">
        <f t="shared" si="1"/>
        <v>995</v>
      </c>
      <c r="K65" s="80">
        <v>-550</v>
      </c>
      <c r="L65" s="76">
        <f t="shared" si="2"/>
        <v>445</v>
      </c>
      <c r="M65" s="86"/>
      <c r="N65" s="99">
        <v>240</v>
      </c>
      <c r="O65" s="50">
        <f t="shared" si="3"/>
        <v>106800</v>
      </c>
      <c r="P65" s="50">
        <f t="shared" si="4"/>
        <v>238800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400</v>
      </c>
      <c r="E66" s="24"/>
      <c r="F66" s="24"/>
      <c r="G66" s="16">
        <f t="shared" si="0"/>
        <v>400</v>
      </c>
      <c r="H66" s="24"/>
      <c r="I66" s="24"/>
      <c r="J66" s="76">
        <f t="shared" si="1"/>
        <v>400</v>
      </c>
      <c r="K66" s="81">
        <v>0</v>
      </c>
      <c r="L66" s="81">
        <f t="shared" si="2"/>
        <v>400</v>
      </c>
      <c r="M66" s="86"/>
      <c r="N66" s="99">
        <v>1100</v>
      </c>
      <c r="O66" s="50">
        <f t="shared" si="3"/>
        <v>440000</v>
      </c>
      <c r="P66" s="50">
        <f t="shared" si="4"/>
        <v>440000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1882</v>
      </c>
      <c r="E67" s="24"/>
      <c r="F67" s="24"/>
      <c r="G67" s="16">
        <f t="shared" si="0"/>
        <v>1882</v>
      </c>
      <c r="H67" s="24">
        <v>237</v>
      </c>
      <c r="I67" s="24"/>
      <c r="J67" s="76">
        <f t="shared" si="1"/>
        <v>1645</v>
      </c>
      <c r="K67" s="80">
        <v>0</v>
      </c>
      <c r="L67" s="76">
        <f t="shared" si="2"/>
        <v>1645</v>
      </c>
      <c r="M67" s="84"/>
      <c r="N67" s="99">
        <v>53</v>
      </c>
      <c r="O67" s="50">
        <f t="shared" si="3"/>
        <v>87185</v>
      </c>
      <c r="P67" s="50">
        <f t="shared" si="4"/>
        <v>87185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478</v>
      </c>
      <c r="E70" s="24"/>
      <c r="F70" s="24"/>
      <c r="G70" s="16">
        <f t="shared" si="0"/>
        <v>478</v>
      </c>
      <c r="H70" s="24"/>
      <c r="I70" s="24"/>
      <c r="J70" s="76">
        <f t="shared" si="1"/>
        <v>478</v>
      </c>
      <c r="K70" s="80">
        <v>-153</v>
      </c>
      <c r="L70" s="76">
        <f t="shared" si="2"/>
        <v>325</v>
      </c>
      <c r="M70" s="86"/>
      <c r="N70" s="99">
        <v>260</v>
      </c>
      <c r="O70" s="50">
        <f t="shared" si="3"/>
        <v>84500</v>
      </c>
      <c r="P70" s="50">
        <f t="shared" si="4"/>
        <v>124280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4672</v>
      </c>
      <c r="E72" s="24"/>
      <c r="F72" s="24"/>
      <c r="G72" s="16">
        <f t="shared" si="0"/>
        <v>4672</v>
      </c>
      <c r="H72" s="24">
        <v>104</v>
      </c>
      <c r="I72" s="24"/>
      <c r="J72" s="76">
        <f t="shared" si="5"/>
        <v>4568</v>
      </c>
      <c r="K72" s="80">
        <v>-200</v>
      </c>
      <c r="L72" s="76">
        <f t="shared" si="2"/>
        <v>4368</v>
      </c>
      <c r="M72" s="30"/>
      <c r="N72" s="99">
        <v>39</v>
      </c>
      <c r="O72" s="50">
        <f t="shared" si="6"/>
        <v>170352</v>
      </c>
      <c r="P72" s="50">
        <f t="shared" si="7"/>
        <v>178152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19762</v>
      </c>
      <c r="E73" s="24"/>
      <c r="F73" s="24"/>
      <c r="G73" s="16">
        <f t="shared" si="0"/>
        <v>19762</v>
      </c>
      <c r="H73" s="24"/>
      <c r="I73" s="42"/>
      <c r="J73" s="76">
        <f t="shared" si="5"/>
        <v>19762</v>
      </c>
      <c r="K73" s="80">
        <v>0</v>
      </c>
      <c r="L73" s="76">
        <f t="shared" si="2"/>
        <v>19762</v>
      </c>
      <c r="M73" s="84"/>
      <c r="N73" s="99">
        <v>83</v>
      </c>
      <c r="O73" s="50">
        <f t="shared" si="6"/>
        <v>1640246</v>
      </c>
      <c r="P73" s="50">
        <f t="shared" si="7"/>
        <v>1640246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2282</v>
      </c>
      <c r="E75" s="24"/>
      <c r="F75" s="24"/>
      <c r="G75" s="16">
        <f t="shared" si="0"/>
        <v>2282</v>
      </c>
      <c r="H75" s="24">
        <v>254</v>
      </c>
      <c r="I75" s="24"/>
      <c r="J75" s="76">
        <f t="shared" si="5"/>
        <v>2028</v>
      </c>
      <c r="K75" s="80">
        <v>273</v>
      </c>
      <c r="L75" s="76">
        <f t="shared" si="2"/>
        <v>2301</v>
      </c>
      <c r="M75" s="86"/>
      <c r="N75" s="99">
        <v>16</v>
      </c>
      <c r="O75" s="50">
        <f t="shared" si="6"/>
        <v>36816</v>
      </c>
      <c r="P75" s="50">
        <f t="shared" si="7"/>
        <v>32448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508</v>
      </c>
      <c r="E76" s="24"/>
      <c r="F76" s="24"/>
      <c r="G76" s="16">
        <f t="shared" si="0"/>
        <v>508</v>
      </c>
      <c r="H76" s="24"/>
      <c r="I76" s="24"/>
      <c r="J76" s="76">
        <f t="shared" si="5"/>
        <v>508</v>
      </c>
      <c r="K76" s="80">
        <v>-250</v>
      </c>
      <c r="L76" s="76">
        <f t="shared" si="2"/>
        <v>258</v>
      </c>
      <c r="M76" s="30"/>
      <c r="N76" s="99">
        <v>400</v>
      </c>
      <c r="O76" s="50">
        <f t="shared" si="6"/>
        <v>103200</v>
      </c>
      <c r="P76" s="50">
        <f t="shared" si="7"/>
        <v>203200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226</v>
      </c>
      <c r="E78" s="24"/>
      <c r="F78" s="24"/>
      <c r="G78" s="16">
        <f t="shared" si="0"/>
        <v>226</v>
      </c>
      <c r="H78" s="24"/>
      <c r="I78" s="24"/>
      <c r="J78" s="76">
        <f t="shared" si="5"/>
        <v>226</v>
      </c>
      <c r="K78" s="80">
        <v>100</v>
      </c>
      <c r="L78" s="76">
        <f t="shared" si="2"/>
        <v>326</v>
      </c>
      <c r="M78" s="86"/>
      <c r="N78" s="99">
        <v>900</v>
      </c>
      <c r="O78" s="50">
        <f t="shared" si="6"/>
        <v>293400</v>
      </c>
      <c r="P78" s="50">
        <f t="shared" si="7"/>
        <v>203400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6285</v>
      </c>
      <c r="E83" s="98"/>
      <c r="F83" s="24"/>
      <c r="G83" s="16">
        <f t="shared" si="8"/>
        <v>6285</v>
      </c>
      <c r="H83" s="24"/>
      <c r="I83" s="95"/>
      <c r="J83" s="76">
        <f t="shared" si="5"/>
        <v>6285</v>
      </c>
      <c r="K83" s="81">
        <v>0</v>
      </c>
      <c r="L83" s="76">
        <f t="shared" si="2"/>
        <v>6285</v>
      </c>
      <c r="M83" s="85"/>
      <c r="N83" s="100">
        <v>64</v>
      </c>
      <c r="O83" s="50">
        <f t="shared" si="6"/>
        <v>402240</v>
      </c>
      <c r="P83" s="50">
        <f t="shared" si="7"/>
        <v>402240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0</v>
      </c>
      <c r="E84" s="89">
        <v>25</v>
      </c>
      <c r="F84" s="12"/>
      <c r="G84" s="45">
        <f t="shared" si="8"/>
        <v>25</v>
      </c>
      <c r="H84" s="12"/>
      <c r="I84" s="94"/>
      <c r="J84" s="82">
        <f t="shared" ref="J84:J97" si="9">D84+E84-H84-I84</f>
        <v>25</v>
      </c>
      <c r="K84" s="96">
        <v>0</v>
      </c>
      <c r="L84" s="82">
        <f t="shared" si="2"/>
        <v>25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-8</v>
      </c>
      <c r="E85" s="90"/>
      <c r="F85" s="11"/>
      <c r="G85" s="16">
        <f t="shared" si="8"/>
        <v>-8</v>
      </c>
      <c r="H85" s="88"/>
      <c r="I85" s="11"/>
      <c r="J85" s="76">
        <f t="shared" si="9"/>
        <v>-8</v>
      </c>
      <c r="K85" s="97">
        <v>500</v>
      </c>
      <c r="L85" s="76">
        <f t="shared" si="2"/>
        <v>492</v>
      </c>
      <c r="M85" s="86"/>
      <c r="N85" s="99">
        <v>350</v>
      </c>
      <c r="O85" s="50">
        <f t="shared" si="6"/>
        <v>172200</v>
      </c>
      <c r="P85" s="50">
        <f t="shared" si="7"/>
        <v>-2800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427</v>
      </c>
      <c r="E86" s="90"/>
      <c r="F86" s="11"/>
      <c r="G86" s="16">
        <f t="shared" si="8"/>
        <v>427</v>
      </c>
      <c r="H86" s="88"/>
      <c r="I86" s="11"/>
      <c r="J86" s="76">
        <f t="shared" si="9"/>
        <v>427</v>
      </c>
      <c r="K86" s="97">
        <v>300</v>
      </c>
      <c r="L86" s="76">
        <f t="shared" si="2"/>
        <v>727</v>
      </c>
      <c r="M86" s="84"/>
      <c r="N86" s="99">
        <v>165</v>
      </c>
      <c r="O86" s="50">
        <f t="shared" si="6"/>
        <v>119955</v>
      </c>
      <c r="P86" s="50">
        <f t="shared" si="7"/>
        <v>70455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293</v>
      </c>
      <c r="E87" s="11"/>
      <c r="F87" s="11"/>
      <c r="G87" s="16">
        <f t="shared" si="8"/>
        <v>293</v>
      </c>
      <c r="H87" s="88"/>
      <c r="I87" s="11"/>
      <c r="J87" s="76">
        <f t="shared" si="9"/>
        <v>293</v>
      </c>
      <c r="K87" s="97">
        <v>-1</v>
      </c>
      <c r="L87" s="76">
        <f t="shared" si="2"/>
        <v>292</v>
      </c>
      <c r="M87" s="86"/>
      <c r="N87" s="99">
        <v>630</v>
      </c>
      <c r="O87" s="50">
        <f t="shared" si="6"/>
        <v>183960</v>
      </c>
      <c r="P87" s="50">
        <f t="shared" si="7"/>
        <v>184590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87</v>
      </c>
      <c r="E88" s="11"/>
      <c r="F88" s="11"/>
      <c r="G88" s="16">
        <f t="shared" si="8"/>
        <v>87</v>
      </c>
      <c r="H88" s="88">
        <v>18</v>
      </c>
      <c r="I88" s="11"/>
      <c r="J88" s="76">
        <f t="shared" si="9"/>
        <v>69</v>
      </c>
      <c r="K88" s="97">
        <v>8</v>
      </c>
      <c r="L88" s="76">
        <f t="shared" ref="L88:L97" si="10">J88+K88</f>
        <v>77</v>
      </c>
      <c r="M88" s="86"/>
      <c r="N88" s="99">
        <v>285</v>
      </c>
      <c r="O88" s="50">
        <f t="shared" si="6"/>
        <v>21945</v>
      </c>
      <c r="P88" s="50">
        <f t="shared" si="7"/>
        <v>19665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592</v>
      </c>
      <c r="E92" s="88"/>
      <c r="F92" s="11"/>
      <c r="G92" s="16">
        <f t="shared" si="8"/>
        <v>592</v>
      </c>
      <c r="H92" s="88">
        <v>12</v>
      </c>
      <c r="I92" s="11"/>
      <c r="J92" s="83">
        <f t="shared" si="9"/>
        <v>580</v>
      </c>
      <c r="K92" s="97">
        <v>0</v>
      </c>
      <c r="L92" s="76">
        <f t="shared" si="10"/>
        <v>580</v>
      </c>
      <c r="M92" s="86"/>
      <c r="N92" s="99">
        <v>113</v>
      </c>
      <c r="O92" s="50">
        <f t="shared" si="6"/>
        <v>65540</v>
      </c>
      <c r="P92" s="50">
        <f t="shared" si="7"/>
        <v>65540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365</v>
      </c>
      <c r="E94" s="88"/>
      <c r="F94" s="11"/>
      <c r="G94" s="16">
        <f t="shared" si="8"/>
        <v>365</v>
      </c>
      <c r="H94" s="88"/>
      <c r="I94" s="11"/>
      <c r="J94" s="83">
        <f t="shared" si="9"/>
        <v>365</v>
      </c>
      <c r="K94" s="97">
        <v>-50</v>
      </c>
      <c r="L94" s="76">
        <f t="shared" si="10"/>
        <v>315</v>
      </c>
      <c r="M94" s="86"/>
      <c r="N94" s="99">
        <v>950</v>
      </c>
      <c r="O94" s="50">
        <f t="shared" si="6"/>
        <v>299250</v>
      </c>
      <c r="P94" s="50">
        <f t="shared" si="7"/>
        <v>346750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1234898.2549999999</v>
      </c>
      <c r="E98" s="27">
        <f t="shared" ref="E98:L98" si="11">SUM(E6:E97)</f>
        <v>82085</v>
      </c>
      <c r="F98" s="27">
        <f t="shared" si="11"/>
        <v>478</v>
      </c>
      <c r="G98" s="27">
        <f t="shared" si="11"/>
        <v>1316505.2549999999</v>
      </c>
      <c r="H98" s="27">
        <f t="shared" si="11"/>
        <v>29719</v>
      </c>
      <c r="I98" s="27">
        <f t="shared" si="11"/>
        <v>0</v>
      </c>
      <c r="J98" s="27">
        <f t="shared" si="11"/>
        <v>1286786.2549999999</v>
      </c>
      <c r="K98" s="27">
        <f t="shared" si="11"/>
        <v>-576999</v>
      </c>
      <c r="L98" s="27">
        <f t="shared" si="11"/>
        <v>709787.25499999989</v>
      </c>
      <c r="M98" s="27">
        <f>SUM(M6:M96)</f>
        <v>0</v>
      </c>
      <c r="N98" s="51"/>
      <c r="O98" s="51">
        <f t="shared" ref="O98" si="12">SUM(O6:O97)</f>
        <v>30571265.740000002</v>
      </c>
      <c r="P98" s="51">
        <f>SUM(P6:P97)</f>
        <v>42944236.43999999</v>
      </c>
      <c r="Q98" s="57">
        <f>O98-P98</f>
        <v>-12372970.699999988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02" t="s">
        <v>115</v>
      </c>
      <c r="M100" s="102"/>
      <c r="O100" s="55" t="s">
        <v>110</v>
      </c>
      <c r="P100" s="54">
        <v>79909923</v>
      </c>
    </row>
    <row r="101" spans="1:22">
      <c r="P101" s="54">
        <f>P100-P98</f>
        <v>36965686.56000001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81" activePane="bottomLeft" state="frozen"/>
      <selection pane="bottomLeft" activeCell="Q104" sqref="Q104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152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33316</v>
      </c>
      <c r="E6" s="15"/>
      <c r="F6" s="16"/>
      <c r="G6" s="15">
        <f>D6+E6-F6</f>
        <v>33316</v>
      </c>
      <c r="H6" s="15">
        <v>4430</v>
      </c>
      <c r="I6" s="16"/>
      <c r="J6" s="15">
        <f>G6-H6-I6</f>
        <v>28886</v>
      </c>
      <c r="K6" s="15">
        <v>8000</v>
      </c>
      <c r="L6" s="15">
        <f>J6+K6</f>
        <v>36886</v>
      </c>
      <c r="M6" s="30" t="s">
        <v>75</v>
      </c>
      <c r="N6" s="99">
        <v>21.5</v>
      </c>
      <c r="O6" s="50">
        <f>L6*N6</f>
        <v>793049</v>
      </c>
      <c r="P6" s="50">
        <f>J6*N6</f>
        <v>621049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100324</v>
      </c>
      <c r="E7" s="15"/>
      <c r="F7" s="15"/>
      <c r="G7" s="15">
        <f t="shared" ref="G7:G80" si="0">D7+E7-F7</f>
        <v>100324</v>
      </c>
      <c r="H7" s="15">
        <v>1035</v>
      </c>
      <c r="I7" s="15"/>
      <c r="J7" s="15">
        <f t="shared" ref="J7:J70" si="1">G7-H7-I7</f>
        <v>99289</v>
      </c>
      <c r="K7" s="15">
        <v>-5000</v>
      </c>
      <c r="L7" s="15">
        <f t="shared" ref="L7:L87" si="2">J7+K7</f>
        <v>94289</v>
      </c>
      <c r="M7" s="30"/>
      <c r="N7" s="99">
        <v>38</v>
      </c>
      <c r="O7" s="50">
        <f t="shared" ref="O7:O70" si="3">L7*N7</f>
        <v>3582982</v>
      </c>
      <c r="P7" s="50">
        <f t="shared" ref="P7:P70" si="4">J7*N7</f>
        <v>3772982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86486</v>
      </c>
      <c r="E8" s="15"/>
      <c r="F8" s="15"/>
      <c r="G8" s="15">
        <f t="shared" si="0"/>
        <v>86486</v>
      </c>
      <c r="H8" s="15">
        <v>1846</v>
      </c>
      <c r="I8" s="15"/>
      <c r="J8" s="15">
        <f t="shared" si="1"/>
        <v>84640</v>
      </c>
      <c r="K8" s="15">
        <v>0</v>
      </c>
      <c r="L8" s="15">
        <f t="shared" si="2"/>
        <v>84640</v>
      </c>
      <c r="M8" s="30"/>
      <c r="N8" s="99">
        <v>12</v>
      </c>
      <c r="O8" s="50">
        <f t="shared" si="3"/>
        <v>1015680</v>
      </c>
      <c r="P8" s="50">
        <f t="shared" si="4"/>
        <v>1015680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806135</v>
      </c>
      <c r="E10" s="15"/>
      <c r="F10" s="15"/>
      <c r="G10" s="15">
        <f t="shared" si="0"/>
        <v>806135</v>
      </c>
      <c r="H10" s="15">
        <v>1635</v>
      </c>
      <c r="I10" s="15"/>
      <c r="J10" s="15">
        <f t="shared" si="1"/>
        <v>804500</v>
      </c>
      <c r="K10" s="15">
        <v>-607000</v>
      </c>
      <c r="L10" s="15">
        <f t="shared" si="2"/>
        <v>197500</v>
      </c>
      <c r="M10" s="30"/>
      <c r="N10" s="99">
        <v>23.09</v>
      </c>
      <c r="O10" s="50">
        <f t="shared" si="3"/>
        <v>4560275</v>
      </c>
      <c r="P10" s="50">
        <f t="shared" si="4"/>
        <v>18575905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10948</v>
      </c>
      <c r="E11" s="15"/>
      <c r="F11" s="15"/>
      <c r="G11" s="15">
        <f t="shared" si="0"/>
        <v>10948</v>
      </c>
      <c r="H11" s="15">
        <v>1148</v>
      </c>
      <c r="I11" s="15"/>
      <c r="J11" s="15">
        <f t="shared" si="1"/>
        <v>9800</v>
      </c>
      <c r="K11" s="15">
        <v>2000</v>
      </c>
      <c r="L11" s="15">
        <f t="shared" si="2"/>
        <v>11800</v>
      </c>
      <c r="M11" s="30" t="s">
        <v>75</v>
      </c>
      <c r="N11" s="99">
        <v>16.5</v>
      </c>
      <c r="O11" s="50">
        <f t="shared" si="3"/>
        <v>194700</v>
      </c>
      <c r="P11" s="50">
        <f t="shared" si="4"/>
        <v>161700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12487</v>
      </c>
      <c r="E13" s="15"/>
      <c r="F13" s="15"/>
      <c r="G13" s="15">
        <f t="shared" si="0"/>
        <v>12487</v>
      </c>
      <c r="H13" s="15">
        <v>1913</v>
      </c>
      <c r="I13" s="15"/>
      <c r="J13" s="15">
        <f t="shared" si="1"/>
        <v>10574</v>
      </c>
      <c r="K13" s="15">
        <v>5000</v>
      </c>
      <c r="L13" s="15">
        <f t="shared" si="2"/>
        <v>15574</v>
      </c>
      <c r="M13" s="30" t="s">
        <v>75</v>
      </c>
      <c r="N13" s="99">
        <v>27.5</v>
      </c>
      <c r="O13" s="50">
        <f t="shared" si="3"/>
        <v>428285</v>
      </c>
      <c r="P13" s="50">
        <f t="shared" si="4"/>
        <v>290785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11912</v>
      </c>
      <c r="E14" s="15"/>
      <c r="F14" s="15"/>
      <c r="G14" s="15">
        <f t="shared" si="0"/>
        <v>11912</v>
      </c>
      <c r="H14" s="15"/>
      <c r="I14" s="16"/>
      <c r="J14" s="15">
        <f t="shared" si="1"/>
        <v>11912</v>
      </c>
      <c r="K14" s="15">
        <v>-1000</v>
      </c>
      <c r="L14" s="15">
        <f t="shared" si="2"/>
        <v>10912</v>
      </c>
      <c r="M14" s="30"/>
      <c r="N14" s="99">
        <v>59</v>
      </c>
      <c r="O14" s="50">
        <f t="shared" si="3"/>
        <v>643808</v>
      </c>
      <c r="P14" s="50">
        <f t="shared" si="4"/>
        <v>702808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18688</v>
      </c>
      <c r="E16" s="29"/>
      <c r="F16" s="15"/>
      <c r="G16" s="15">
        <f t="shared" si="0"/>
        <v>18688</v>
      </c>
      <c r="H16" s="15"/>
      <c r="I16" s="16"/>
      <c r="J16" s="15">
        <f t="shared" si="1"/>
        <v>18688</v>
      </c>
      <c r="K16" s="15">
        <v>0</v>
      </c>
      <c r="L16" s="15">
        <f>J16+K16</f>
        <v>18688</v>
      </c>
      <c r="M16" s="30"/>
      <c r="N16" s="99">
        <v>43.25</v>
      </c>
      <c r="O16" s="50">
        <f t="shared" si="3"/>
        <v>808256</v>
      </c>
      <c r="P16" s="50">
        <f t="shared" si="4"/>
        <v>808256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5595</v>
      </c>
      <c r="E19" s="15"/>
      <c r="F19" s="15"/>
      <c r="G19" s="15">
        <f t="shared" si="0"/>
        <v>5595</v>
      </c>
      <c r="H19" s="15"/>
      <c r="I19" s="16"/>
      <c r="J19" s="15">
        <f t="shared" si="1"/>
        <v>5595</v>
      </c>
      <c r="K19" s="15">
        <v>1000</v>
      </c>
      <c r="L19" s="15">
        <f t="shared" si="2"/>
        <v>6595</v>
      </c>
      <c r="M19" s="30"/>
      <c r="N19" s="99">
        <v>22.8</v>
      </c>
      <c r="O19" s="50">
        <f t="shared" si="3"/>
        <v>150366</v>
      </c>
      <c r="P19" s="50">
        <f t="shared" si="4"/>
        <v>127566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5660</v>
      </c>
      <c r="E20" s="15"/>
      <c r="F20" s="15"/>
      <c r="G20" s="15">
        <f t="shared" si="0"/>
        <v>5660</v>
      </c>
      <c r="H20" s="15"/>
      <c r="I20" s="16"/>
      <c r="J20" s="15">
        <f t="shared" si="1"/>
        <v>5660</v>
      </c>
      <c r="K20" s="15">
        <v>0</v>
      </c>
      <c r="L20" s="15">
        <f t="shared" si="2"/>
        <v>5660</v>
      </c>
      <c r="M20" s="30" t="s">
        <v>75</v>
      </c>
      <c r="N20" s="99">
        <v>20</v>
      </c>
      <c r="O20" s="50">
        <f t="shared" si="3"/>
        <v>113200</v>
      </c>
      <c r="P20" s="50">
        <f t="shared" si="4"/>
        <v>113200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3102</v>
      </c>
      <c r="E21" s="15"/>
      <c r="F21" s="15"/>
      <c r="G21" s="15">
        <f t="shared" si="0"/>
        <v>3102</v>
      </c>
      <c r="H21" s="15">
        <v>259</v>
      </c>
      <c r="I21" s="16"/>
      <c r="J21" s="15">
        <f t="shared" si="1"/>
        <v>2843</v>
      </c>
      <c r="K21" s="15">
        <v>0</v>
      </c>
      <c r="L21" s="15">
        <f t="shared" si="2"/>
        <v>2843</v>
      </c>
      <c r="M21" s="30"/>
      <c r="N21" s="99">
        <v>8.5</v>
      </c>
      <c r="O21" s="50">
        <f t="shared" si="3"/>
        <v>24165.5</v>
      </c>
      <c r="P21" s="50">
        <f t="shared" si="4"/>
        <v>24165.5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229131</v>
      </c>
      <c r="E22" s="15"/>
      <c r="F22" s="15"/>
      <c r="G22" s="15">
        <f t="shared" si="0"/>
        <v>229131</v>
      </c>
      <c r="H22" s="15"/>
      <c r="I22" s="16"/>
      <c r="J22" s="15">
        <f t="shared" si="1"/>
        <v>229131</v>
      </c>
      <c r="K22" s="15">
        <v>8000</v>
      </c>
      <c r="L22" s="15">
        <f t="shared" si="2"/>
        <v>237131</v>
      </c>
      <c r="M22" s="30"/>
      <c r="N22" s="99">
        <v>8.5</v>
      </c>
      <c r="O22" s="50">
        <f t="shared" si="3"/>
        <v>2015613.5</v>
      </c>
      <c r="P22" s="50">
        <f t="shared" si="4"/>
        <v>1947613.5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5821</v>
      </c>
      <c r="E23" s="15"/>
      <c r="F23" s="15"/>
      <c r="G23" s="15">
        <f t="shared" si="0"/>
        <v>5821</v>
      </c>
      <c r="H23" s="15"/>
      <c r="I23" s="16"/>
      <c r="J23" s="15">
        <f t="shared" si="1"/>
        <v>5821</v>
      </c>
      <c r="K23" s="15">
        <v>1500</v>
      </c>
      <c r="L23" s="15">
        <f t="shared" si="2"/>
        <v>7321</v>
      </c>
      <c r="M23" s="30" t="s">
        <v>75</v>
      </c>
      <c r="N23" s="99">
        <v>82</v>
      </c>
      <c r="O23" s="50">
        <f t="shared" si="3"/>
        <v>600322</v>
      </c>
      <c r="P23" s="50">
        <f t="shared" si="4"/>
        <v>477322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11288</v>
      </c>
      <c r="E24" s="29"/>
      <c r="F24" s="29"/>
      <c r="G24" s="15">
        <f t="shared" si="0"/>
        <v>11288</v>
      </c>
      <c r="H24" s="15">
        <v>263</v>
      </c>
      <c r="I24" s="16"/>
      <c r="J24" s="15">
        <f t="shared" si="1"/>
        <v>11025</v>
      </c>
      <c r="K24" s="15">
        <v>2713</v>
      </c>
      <c r="L24" s="15">
        <f t="shared" si="2"/>
        <v>13738</v>
      </c>
      <c r="M24" s="30"/>
      <c r="N24" s="99">
        <v>22.1</v>
      </c>
      <c r="O24" s="50">
        <f t="shared" si="3"/>
        <v>303609.80000000005</v>
      </c>
      <c r="P24" s="50">
        <f t="shared" si="4"/>
        <v>243652.50000000003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146</v>
      </c>
      <c r="E26" s="15"/>
      <c r="F26" s="15"/>
      <c r="G26" s="15">
        <f t="shared" si="0"/>
        <v>146</v>
      </c>
      <c r="H26" s="15">
        <v>192</v>
      </c>
      <c r="I26" s="16"/>
      <c r="J26" s="76">
        <f t="shared" si="1"/>
        <v>-46</v>
      </c>
      <c r="K26" s="76">
        <v>0</v>
      </c>
      <c r="L26" s="76">
        <f t="shared" si="2"/>
        <v>-46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>
        <v>19</v>
      </c>
      <c r="I31" s="16"/>
      <c r="J31" s="76">
        <f t="shared" si="1"/>
        <v>9990</v>
      </c>
      <c r="K31" s="76">
        <v>0</v>
      </c>
      <c r="L31" s="76">
        <f t="shared" si="2"/>
        <v>9990</v>
      </c>
      <c r="M31" s="78"/>
      <c r="N31" s="99">
        <v>60</v>
      </c>
      <c r="O31" s="50">
        <f t="shared" si="3"/>
        <v>599400</v>
      </c>
      <c r="P31" s="50">
        <f t="shared" si="4"/>
        <v>599400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18283</v>
      </c>
      <c r="E32" s="15"/>
      <c r="F32" s="15"/>
      <c r="G32" s="15">
        <f t="shared" si="0"/>
        <v>18283</v>
      </c>
      <c r="H32" s="15">
        <v>1235</v>
      </c>
      <c r="I32" s="16"/>
      <c r="J32" s="76">
        <f t="shared" si="1"/>
        <v>17048</v>
      </c>
      <c r="K32" s="76"/>
      <c r="L32" s="76">
        <f t="shared" si="2"/>
        <v>17048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14027</v>
      </c>
      <c r="E33" s="15"/>
      <c r="F33" s="15"/>
      <c r="G33" s="15">
        <f t="shared" si="0"/>
        <v>14027</v>
      </c>
      <c r="H33" s="15">
        <v>90</v>
      </c>
      <c r="I33" s="16"/>
      <c r="J33" s="76">
        <f t="shared" si="1"/>
        <v>13937</v>
      </c>
      <c r="K33" s="76">
        <v>206</v>
      </c>
      <c r="L33" s="76">
        <f t="shared" si="2"/>
        <v>14143</v>
      </c>
      <c r="M33" s="30"/>
      <c r="N33" s="99">
        <v>12.49</v>
      </c>
      <c r="O33" s="50">
        <f t="shared" si="3"/>
        <v>176646.07</v>
      </c>
      <c r="P33" s="50">
        <f t="shared" si="4"/>
        <v>174073.13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171</v>
      </c>
      <c r="E34" s="15"/>
      <c r="F34" s="15"/>
      <c r="G34" s="15">
        <f t="shared" si="0"/>
        <v>171</v>
      </c>
      <c r="H34" s="15"/>
      <c r="I34" s="16"/>
      <c r="J34" s="76">
        <f t="shared" si="1"/>
        <v>171</v>
      </c>
      <c r="K34" s="76">
        <v>-50</v>
      </c>
      <c r="L34" s="76">
        <f t="shared" si="2"/>
        <v>121</v>
      </c>
      <c r="M34" s="77"/>
      <c r="N34" s="99">
        <v>435</v>
      </c>
      <c r="O34" s="50">
        <f t="shared" si="3"/>
        <v>52635</v>
      </c>
      <c r="P34" s="50">
        <f t="shared" si="4"/>
        <v>74385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117</v>
      </c>
      <c r="E35" s="15"/>
      <c r="F35" s="15"/>
      <c r="G35" s="15">
        <f t="shared" si="0"/>
        <v>117</v>
      </c>
      <c r="H35" s="15"/>
      <c r="I35" s="16"/>
      <c r="J35" s="76">
        <f>G35-H35-I35</f>
        <v>117</v>
      </c>
      <c r="K35" s="76">
        <v>-50</v>
      </c>
      <c r="L35" s="76">
        <f t="shared" si="2"/>
        <v>67</v>
      </c>
      <c r="M35" s="84"/>
      <c r="N35" s="99">
        <v>730</v>
      </c>
      <c r="O35" s="50">
        <f t="shared" si="3"/>
        <v>48910</v>
      </c>
      <c r="P35" s="50">
        <f t="shared" si="4"/>
        <v>85410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331</v>
      </c>
      <c r="E36" s="15"/>
      <c r="F36" s="15"/>
      <c r="G36" s="15">
        <f t="shared" si="0"/>
        <v>331</v>
      </c>
      <c r="H36" s="16"/>
      <c r="I36" s="16"/>
      <c r="J36" s="76">
        <f t="shared" si="1"/>
        <v>331</v>
      </c>
      <c r="K36" s="76">
        <v>-125</v>
      </c>
      <c r="L36" s="76">
        <f t="shared" si="2"/>
        <v>206</v>
      </c>
      <c r="M36" s="84"/>
      <c r="N36" s="99">
        <v>155</v>
      </c>
      <c r="O36" s="50">
        <f t="shared" si="3"/>
        <v>31930</v>
      </c>
      <c r="P36" s="50">
        <f t="shared" si="4"/>
        <v>51305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1340</v>
      </c>
      <c r="E37" s="15"/>
      <c r="F37" s="15"/>
      <c r="G37" s="15">
        <f t="shared" si="0"/>
        <v>1340</v>
      </c>
      <c r="H37" s="16">
        <v>37</v>
      </c>
      <c r="I37" s="16"/>
      <c r="J37" s="76">
        <f t="shared" si="1"/>
        <v>1303</v>
      </c>
      <c r="K37" s="76">
        <v>0</v>
      </c>
      <c r="L37" s="76">
        <f t="shared" si="2"/>
        <v>1303</v>
      </c>
      <c r="M37" s="84"/>
      <c r="N37" s="99">
        <v>125</v>
      </c>
      <c r="O37" s="50">
        <f t="shared" si="3"/>
        <v>162875</v>
      </c>
      <c r="P37" s="50">
        <f t="shared" si="4"/>
        <v>162875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289</v>
      </c>
      <c r="E39" s="15"/>
      <c r="F39" s="15"/>
      <c r="G39" s="15">
        <f t="shared" si="0"/>
        <v>289</v>
      </c>
      <c r="H39" s="16"/>
      <c r="I39" s="16"/>
      <c r="J39" s="76">
        <f t="shared" si="1"/>
        <v>289</v>
      </c>
      <c r="K39" s="76">
        <v>-70</v>
      </c>
      <c r="L39" s="76">
        <f t="shared" si="2"/>
        <v>219</v>
      </c>
      <c r="M39" s="84"/>
      <c r="N39" s="99">
        <v>975</v>
      </c>
      <c r="O39" s="50">
        <f t="shared" si="3"/>
        <v>213525</v>
      </c>
      <c r="P39" s="50">
        <f t="shared" si="4"/>
        <v>281775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683</v>
      </c>
      <c r="E41" s="15"/>
      <c r="F41" s="15"/>
      <c r="G41" s="15">
        <f t="shared" si="0"/>
        <v>683</v>
      </c>
      <c r="H41" s="16"/>
      <c r="I41" s="16"/>
      <c r="J41" s="76">
        <f t="shared" si="1"/>
        <v>683</v>
      </c>
      <c r="K41" s="76">
        <v>500</v>
      </c>
      <c r="L41" s="76">
        <f t="shared" si="2"/>
        <v>1183</v>
      </c>
      <c r="M41" s="84"/>
      <c r="N41" s="99">
        <v>125</v>
      </c>
      <c r="O41" s="50">
        <f t="shared" si="3"/>
        <v>147875</v>
      </c>
      <c r="P41" s="50">
        <f t="shared" si="4"/>
        <v>85375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10654</v>
      </c>
      <c r="E44" s="15"/>
      <c r="F44" s="15"/>
      <c r="G44" s="15">
        <f t="shared" si="0"/>
        <v>10654</v>
      </c>
      <c r="H44" s="16">
        <v>16</v>
      </c>
      <c r="I44" s="16"/>
      <c r="J44" s="76">
        <f t="shared" si="1"/>
        <v>10638</v>
      </c>
      <c r="K44" s="76">
        <v>2200</v>
      </c>
      <c r="L44" s="76">
        <f t="shared" si="2"/>
        <v>12838</v>
      </c>
      <c r="M44" s="84"/>
      <c r="N44" s="99">
        <v>80</v>
      </c>
      <c r="O44" s="50">
        <f t="shared" si="3"/>
        <v>1027040</v>
      </c>
      <c r="P44" s="50">
        <f t="shared" si="4"/>
        <v>851040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15939</v>
      </c>
      <c r="E46" s="15"/>
      <c r="F46" s="15"/>
      <c r="G46" s="15">
        <f t="shared" si="0"/>
        <v>15939</v>
      </c>
      <c r="H46" s="16">
        <v>3</v>
      </c>
      <c r="I46" s="16"/>
      <c r="J46" s="76">
        <f t="shared" si="1"/>
        <v>15936</v>
      </c>
      <c r="K46" s="76">
        <v>-180</v>
      </c>
      <c r="L46" s="76">
        <f t="shared" si="2"/>
        <v>15756</v>
      </c>
      <c r="M46" s="84"/>
      <c r="N46" s="99">
        <v>275</v>
      </c>
      <c r="O46" s="50">
        <f t="shared" si="3"/>
        <v>4332900</v>
      </c>
      <c r="P46" s="50">
        <f t="shared" si="4"/>
        <v>4382400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500</v>
      </c>
      <c r="E47" s="15">
        <v>500</v>
      </c>
      <c r="F47" s="15"/>
      <c r="G47" s="15">
        <f t="shared" si="0"/>
        <v>1000</v>
      </c>
      <c r="H47" s="15"/>
      <c r="I47" s="16"/>
      <c r="J47" s="76">
        <f t="shared" si="1"/>
        <v>1000</v>
      </c>
      <c r="K47" s="76">
        <v>0</v>
      </c>
      <c r="L47" s="76">
        <f t="shared" si="2"/>
        <v>1000</v>
      </c>
      <c r="M47" s="84"/>
      <c r="N47" s="99">
        <v>250</v>
      </c>
      <c r="O47" s="50">
        <f t="shared" si="3"/>
        <v>250000</v>
      </c>
      <c r="P47" s="50">
        <f t="shared" si="4"/>
        <v>250000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391</v>
      </c>
      <c r="E49" s="15"/>
      <c r="F49" s="15"/>
      <c r="G49" s="15">
        <f t="shared" si="0"/>
        <v>391</v>
      </c>
      <c r="H49" s="15">
        <v>6</v>
      </c>
      <c r="I49" s="16"/>
      <c r="J49" s="76">
        <f t="shared" si="1"/>
        <v>385</v>
      </c>
      <c r="K49" s="76">
        <v>45</v>
      </c>
      <c r="L49" s="76">
        <f t="shared" si="2"/>
        <v>430</v>
      </c>
      <c r="M49" s="84"/>
      <c r="N49" s="99">
        <v>800</v>
      </c>
      <c r="O49" s="50">
        <f t="shared" si="3"/>
        <v>344000</v>
      </c>
      <c r="P49" s="50">
        <f t="shared" si="4"/>
        <v>308000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78</v>
      </c>
      <c r="E53" s="15"/>
      <c r="F53" s="15"/>
      <c r="G53" s="15">
        <f t="shared" si="0"/>
        <v>78</v>
      </c>
      <c r="H53" s="15"/>
      <c r="I53" s="20"/>
      <c r="J53" s="76">
        <f t="shared" si="1"/>
        <v>78</v>
      </c>
      <c r="K53" s="76">
        <v>0</v>
      </c>
      <c r="L53" s="76">
        <f t="shared" si="2"/>
        <v>78</v>
      </c>
      <c r="M53" s="84"/>
      <c r="N53" s="99">
        <v>1600</v>
      </c>
      <c r="O53" s="50">
        <f t="shared" si="3"/>
        <v>124800</v>
      </c>
      <c r="P53" s="50">
        <f t="shared" si="4"/>
        <v>124800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727</v>
      </c>
      <c r="E54" s="15"/>
      <c r="F54" s="15"/>
      <c r="G54" s="15">
        <f t="shared" si="0"/>
        <v>727</v>
      </c>
      <c r="H54" s="15"/>
      <c r="I54" s="16"/>
      <c r="J54" s="76">
        <f t="shared" si="1"/>
        <v>727</v>
      </c>
      <c r="K54" s="76">
        <v>-350</v>
      </c>
      <c r="L54" s="76">
        <f t="shared" si="2"/>
        <v>377</v>
      </c>
      <c r="M54" s="84"/>
      <c r="N54" s="99">
        <v>375</v>
      </c>
      <c r="O54" s="50">
        <f t="shared" si="3"/>
        <v>141375</v>
      </c>
      <c r="P54" s="50">
        <f t="shared" si="4"/>
        <v>272625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123</v>
      </c>
      <c r="E55" s="15"/>
      <c r="F55" s="15"/>
      <c r="G55" s="15">
        <f t="shared" si="0"/>
        <v>123</v>
      </c>
      <c r="H55" s="15"/>
      <c r="I55" s="21"/>
      <c r="J55" s="76">
        <f t="shared" si="1"/>
        <v>123</v>
      </c>
      <c r="K55" s="76">
        <v>9</v>
      </c>
      <c r="L55" s="76">
        <f t="shared" si="2"/>
        <v>132</v>
      </c>
      <c r="M55" s="30"/>
      <c r="N55" s="99">
        <v>425</v>
      </c>
      <c r="O55" s="50">
        <f t="shared" si="3"/>
        <v>56100</v>
      </c>
      <c r="P55" s="50">
        <f t="shared" si="4"/>
        <v>52275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270</v>
      </c>
      <c r="E56" s="15">
        <v>200</v>
      </c>
      <c r="F56" s="15"/>
      <c r="G56" s="15">
        <f t="shared" si="0"/>
        <v>470</v>
      </c>
      <c r="H56" s="15"/>
      <c r="I56" s="22"/>
      <c r="J56" s="76">
        <f t="shared" si="1"/>
        <v>470</v>
      </c>
      <c r="K56" s="76">
        <v>-200</v>
      </c>
      <c r="L56" s="76">
        <f t="shared" si="2"/>
        <v>270</v>
      </c>
      <c r="M56" s="84"/>
      <c r="N56" s="99">
        <v>390</v>
      </c>
      <c r="O56" s="50">
        <f t="shared" si="3"/>
        <v>105300</v>
      </c>
      <c r="P56" s="50">
        <f t="shared" si="4"/>
        <v>183300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-47</v>
      </c>
      <c r="E58" s="15"/>
      <c r="F58" s="15"/>
      <c r="G58" s="15">
        <f t="shared" si="0"/>
        <v>-47</v>
      </c>
      <c r="H58" s="15">
        <v>2</v>
      </c>
      <c r="I58" s="16"/>
      <c r="J58" s="76">
        <f t="shared" si="1"/>
        <v>-49</v>
      </c>
      <c r="K58" s="76">
        <v>50</v>
      </c>
      <c r="L58" s="76">
        <f t="shared" si="2"/>
        <v>1</v>
      </c>
      <c r="M58" s="30"/>
      <c r="N58" s="99">
        <v>132</v>
      </c>
      <c r="O58" s="50">
        <f t="shared" si="3"/>
        <v>132</v>
      </c>
      <c r="P58" s="50">
        <f t="shared" si="4"/>
        <v>-6468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371</v>
      </c>
      <c r="E59" s="15"/>
      <c r="F59" s="15"/>
      <c r="G59" s="15">
        <f t="shared" si="0"/>
        <v>371</v>
      </c>
      <c r="H59" s="15"/>
      <c r="I59" s="16"/>
      <c r="J59" s="76">
        <f t="shared" si="1"/>
        <v>371</v>
      </c>
      <c r="K59" s="76">
        <v>0</v>
      </c>
      <c r="L59" s="76">
        <f t="shared" si="2"/>
        <v>371</v>
      </c>
      <c r="M59" s="84"/>
      <c r="N59" s="99">
        <v>570</v>
      </c>
      <c r="O59" s="50">
        <f t="shared" si="3"/>
        <v>211470</v>
      </c>
      <c r="P59" s="50">
        <f t="shared" si="4"/>
        <v>211470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5576</v>
      </c>
      <c r="E62" s="15"/>
      <c r="F62" s="15"/>
      <c r="G62" s="15">
        <f t="shared" si="0"/>
        <v>5576</v>
      </c>
      <c r="H62" s="15">
        <v>5</v>
      </c>
      <c r="I62" s="16"/>
      <c r="J62" s="76">
        <f t="shared" si="1"/>
        <v>5571</v>
      </c>
      <c r="K62" s="76">
        <v>187</v>
      </c>
      <c r="L62" s="76">
        <f t="shared" si="2"/>
        <v>5758</v>
      </c>
      <c r="M62" s="30"/>
      <c r="N62" s="99">
        <v>87.38</v>
      </c>
      <c r="O62" s="50">
        <f t="shared" si="3"/>
        <v>503134.04</v>
      </c>
      <c r="P62" s="50">
        <f t="shared" si="4"/>
        <v>486793.98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5</v>
      </c>
      <c r="E63" s="15"/>
      <c r="F63" s="15"/>
      <c r="G63" s="15">
        <f t="shared" si="0"/>
        <v>5</v>
      </c>
      <c r="H63" s="15"/>
      <c r="I63" s="16"/>
      <c r="J63" s="76">
        <f t="shared" si="1"/>
        <v>5</v>
      </c>
      <c r="K63" s="76">
        <v>300</v>
      </c>
      <c r="L63" s="76">
        <f t="shared" si="2"/>
        <v>305</v>
      </c>
      <c r="M63" s="84"/>
      <c r="N63" s="99">
        <v>290</v>
      </c>
      <c r="O63" s="50">
        <f t="shared" si="3"/>
        <v>88450</v>
      </c>
      <c r="P63" s="50">
        <f t="shared" si="4"/>
        <v>1450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61</v>
      </c>
      <c r="E64" s="23"/>
      <c r="F64" s="23"/>
      <c r="G64" s="23">
        <f t="shared" si="0"/>
        <v>61</v>
      </c>
      <c r="H64" s="23">
        <v>12</v>
      </c>
      <c r="I64" s="23"/>
      <c r="J64" s="76">
        <f t="shared" si="1"/>
        <v>49</v>
      </c>
      <c r="K64" s="79">
        <v>100</v>
      </c>
      <c r="L64" s="76">
        <f t="shared" si="2"/>
        <v>149</v>
      </c>
      <c r="M64" s="30"/>
      <c r="N64" s="99">
        <v>70</v>
      </c>
      <c r="O64" s="50">
        <f t="shared" si="3"/>
        <v>10430</v>
      </c>
      <c r="P64" s="50">
        <f t="shared" si="4"/>
        <v>3430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-15</v>
      </c>
      <c r="E65" s="24"/>
      <c r="F65" s="24"/>
      <c r="G65" s="16">
        <f t="shared" si="0"/>
        <v>-15</v>
      </c>
      <c r="H65" s="24"/>
      <c r="I65" s="24"/>
      <c r="J65" s="76">
        <f t="shared" si="1"/>
        <v>-15</v>
      </c>
      <c r="K65" s="80">
        <v>15</v>
      </c>
      <c r="L65" s="76">
        <f t="shared" si="2"/>
        <v>0</v>
      </c>
      <c r="M65" s="86"/>
      <c r="N65" s="99">
        <v>240</v>
      </c>
      <c r="O65" s="50">
        <f t="shared" si="3"/>
        <v>0</v>
      </c>
      <c r="P65" s="50">
        <f t="shared" si="4"/>
        <v>-3600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325</v>
      </c>
      <c r="E66" s="24"/>
      <c r="F66" s="24"/>
      <c r="G66" s="16">
        <f t="shared" si="0"/>
        <v>325</v>
      </c>
      <c r="H66" s="24"/>
      <c r="I66" s="24"/>
      <c r="J66" s="76">
        <f t="shared" si="1"/>
        <v>325</v>
      </c>
      <c r="K66" s="81">
        <v>0</v>
      </c>
      <c r="L66" s="81">
        <f t="shared" si="2"/>
        <v>325</v>
      </c>
      <c r="M66" s="86"/>
      <c r="N66" s="99">
        <v>1100</v>
      </c>
      <c r="O66" s="50">
        <f t="shared" si="3"/>
        <v>357500</v>
      </c>
      <c r="P66" s="50">
        <f t="shared" si="4"/>
        <v>357500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-2681</v>
      </c>
      <c r="E67" s="24"/>
      <c r="F67" s="24"/>
      <c r="G67" s="16">
        <f t="shared" si="0"/>
        <v>-2681</v>
      </c>
      <c r="H67" s="24"/>
      <c r="I67" s="24"/>
      <c r="J67" s="76">
        <f t="shared" si="1"/>
        <v>-2681</v>
      </c>
      <c r="K67" s="80">
        <v>2800</v>
      </c>
      <c r="L67" s="76">
        <f t="shared" si="2"/>
        <v>119</v>
      </c>
      <c r="M67" s="84"/>
      <c r="N67" s="99">
        <v>53</v>
      </c>
      <c r="O67" s="50">
        <f t="shared" si="3"/>
        <v>6307</v>
      </c>
      <c r="P67" s="50">
        <f t="shared" si="4"/>
        <v>-142093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433</v>
      </c>
      <c r="E70" s="24"/>
      <c r="F70" s="24"/>
      <c r="G70" s="16">
        <f t="shared" si="0"/>
        <v>433</v>
      </c>
      <c r="H70" s="24"/>
      <c r="I70" s="24"/>
      <c r="J70" s="76">
        <f t="shared" si="1"/>
        <v>433</v>
      </c>
      <c r="K70" s="80">
        <v>-153</v>
      </c>
      <c r="L70" s="76">
        <f t="shared" si="2"/>
        <v>280</v>
      </c>
      <c r="M70" s="86"/>
      <c r="N70" s="99">
        <v>260</v>
      </c>
      <c r="O70" s="50">
        <f t="shared" si="3"/>
        <v>72800</v>
      </c>
      <c r="P70" s="50">
        <f t="shared" si="4"/>
        <v>112580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3343</v>
      </c>
      <c r="E72" s="24"/>
      <c r="F72" s="24"/>
      <c r="G72" s="16">
        <f t="shared" si="0"/>
        <v>3343</v>
      </c>
      <c r="H72" s="24">
        <v>25</v>
      </c>
      <c r="I72" s="24"/>
      <c r="J72" s="76">
        <f t="shared" si="5"/>
        <v>3318</v>
      </c>
      <c r="K72" s="80">
        <v>-200</v>
      </c>
      <c r="L72" s="76">
        <f t="shared" si="2"/>
        <v>3118</v>
      </c>
      <c r="M72" s="30"/>
      <c r="N72" s="99">
        <v>39</v>
      </c>
      <c r="O72" s="50">
        <f t="shared" si="6"/>
        <v>121602</v>
      </c>
      <c r="P72" s="50">
        <f t="shared" si="7"/>
        <v>129402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18193</v>
      </c>
      <c r="E73" s="24"/>
      <c r="F73" s="24"/>
      <c r="G73" s="16">
        <f t="shared" si="0"/>
        <v>18193</v>
      </c>
      <c r="H73" s="24">
        <v>68</v>
      </c>
      <c r="I73" s="42"/>
      <c r="J73" s="76">
        <f t="shared" si="5"/>
        <v>18125</v>
      </c>
      <c r="K73" s="80">
        <v>0</v>
      </c>
      <c r="L73" s="76">
        <f t="shared" si="2"/>
        <v>18125</v>
      </c>
      <c r="M73" s="84"/>
      <c r="N73" s="99">
        <v>83</v>
      </c>
      <c r="O73" s="50">
        <f t="shared" si="6"/>
        <v>1504375</v>
      </c>
      <c r="P73" s="50">
        <f t="shared" si="7"/>
        <v>1504375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1258</v>
      </c>
      <c r="E75" s="24"/>
      <c r="F75" s="24"/>
      <c r="G75" s="16">
        <f t="shared" si="0"/>
        <v>1258</v>
      </c>
      <c r="H75" s="24">
        <v>136</v>
      </c>
      <c r="I75" s="24"/>
      <c r="J75" s="76">
        <f t="shared" si="5"/>
        <v>1122</v>
      </c>
      <c r="K75" s="80">
        <v>273</v>
      </c>
      <c r="L75" s="76">
        <f t="shared" si="2"/>
        <v>1395</v>
      </c>
      <c r="M75" s="86"/>
      <c r="N75" s="99">
        <v>16</v>
      </c>
      <c r="O75" s="50">
        <f t="shared" si="6"/>
        <v>22320</v>
      </c>
      <c r="P75" s="50">
        <f t="shared" si="7"/>
        <v>17952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322</v>
      </c>
      <c r="E76" s="24"/>
      <c r="F76" s="24"/>
      <c r="G76" s="16">
        <f t="shared" si="0"/>
        <v>322</v>
      </c>
      <c r="H76" s="24"/>
      <c r="I76" s="24"/>
      <c r="J76" s="76">
        <f t="shared" si="5"/>
        <v>322</v>
      </c>
      <c r="K76" s="80">
        <v>-250</v>
      </c>
      <c r="L76" s="76">
        <f t="shared" si="2"/>
        <v>72</v>
      </c>
      <c r="M76" s="30"/>
      <c r="N76" s="99">
        <v>400</v>
      </c>
      <c r="O76" s="50">
        <f t="shared" si="6"/>
        <v>28800</v>
      </c>
      <c r="P76" s="50">
        <f t="shared" si="7"/>
        <v>128800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316</v>
      </c>
      <c r="E78" s="24"/>
      <c r="F78" s="24"/>
      <c r="G78" s="16">
        <f t="shared" si="0"/>
        <v>316</v>
      </c>
      <c r="H78" s="24"/>
      <c r="I78" s="24"/>
      <c r="J78" s="76">
        <f t="shared" si="5"/>
        <v>316</v>
      </c>
      <c r="K78" s="80">
        <v>100</v>
      </c>
      <c r="L78" s="76">
        <f t="shared" si="2"/>
        <v>416</v>
      </c>
      <c r="M78" s="86"/>
      <c r="N78" s="99">
        <v>900</v>
      </c>
      <c r="O78" s="50">
        <f t="shared" si="6"/>
        <v>374400</v>
      </c>
      <c r="P78" s="50">
        <f t="shared" si="7"/>
        <v>284400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5013</v>
      </c>
      <c r="E83" s="98"/>
      <c r="F83" s="24"/>
      <c r="G83" s="16">
        <f t="shared" si="8"/>
        <v>5013</v>
      </c>
      <c r="H83" s="24"/>
      <c r="I83" s="95"/>
      <c r="J83" s="76">
        <f t="shared" si="5"/>
        <v>5013</v>
      </c>
      <c r="K83" s="81">
        <v>0</v>
      </c>
      <c r="L83" s="76">
        <f t="shared" si="2"/>
        <v>5013</v>
      </c>
      <c r="M83" s="85"/>
      <c r="N83" s="100">
        <v>64</v>
      </c>
      <c r="O83" s="50">
        <f t="shared" si="6"/>
        <v>320832</v>
      </c>
      <c r="P83" s="50">
        <f t="shared" si="7"/>
        <v>320832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17</v>
      </c>
      <c r="E84" s="89"/>
      <c r="F84" s="12"/>
      <c r="G84" s="45">
        <f t="shared" si="8"/>
        <v>17</v>
      </c>
      <c r="H84" s="12">
        <v>1</v>
      </c>
      <c r="I84" s="94"/>
      <c r="J84" s="82">
        <f t="shared" ref="J84:J97" si="9">D84+E84-H84-I84</f>
        <v>16</v>
      </c>
      <c r="K84" s="96">
        <v>0</v>
      </c>
      <c r="L84" s="82">
        <f t="shared" si="2"/>
        <v>16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-19</v>
      </c>
      <c r="E85" s="90"/>
      <c r="F85" s="11"/>
      <c r="G85" s="16">
        <f t="shared" si="8"/>
        <v>-19</v>
      </c>
      <c r="H85" s="88"/>
      <c r="I85" s="11"/>
      <c r="J85" s="76">
        <f t="shared" si="9"/>
        <v>-19</v>
      </c>
      <c r="K85" s="97">
        <v>500</v>
      </c>
      <c r="L85" s="76">
        <f t="shared" si="2"/>
        <v>481</v>
      </c>
      <c r="M85" s="86"/>
      <c r="N85" s="99">
        <v>350</v>
      </c>
      <c r="O85" s="50">
        <f t="shared" si="6"/>
        <v>168350</v>
      </c>
      <c r="P85" s="50">
        <f t="shared" si="7"/>
        <v>-6650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401</v>
      </c>
      <c r="E86" s="90"/>
      <c r="F86" s="11"/>
      <c r="G86" s="16">
        <f t="shared" si="8"/>
        <v>401</v>
      </c>
      <c r="H86" s="88"/>
      <c r="I86" s="11"/>
      <c r="J86" s="76">
        <f t="shared" si="9"/>
        <v>401</v>
      </c>
      <c r="K86" s="97">
        <v>300</v>
      </c>
      <c r="L86" s="76">
        <f t="shared" si="2"/>
        <v>701</v>
      </c>
      <c r="M86" s="84"/>
      <c r="N86" s="99">
        <v>165</v>
      </c>
      <c r="O86" s="50">
        <f t="shared" si="6"/>
        <v>115665</v>
      </c>
      <c r="P86" s="50">
        <f t="shared" si="7"/>
        <v>66165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260</v>
      </c>
      <c r="E87" s="11"/>
      <c r="F87" s="11"/>
      <c r="G87" s="16">
        <f t="shared" si="8"/>
        <v>260</v>
      </c>
      <c r="H87" s="88"/>
      <c r="I87" s="11"/>
      <c r="J87" s="76">
        <f t="shared" si="9"/>
        <v>260</v>
      </c>
      <c r="K87" s="97">
        <v>-1</v>
      </c>
      <c r="L87" s="76">
        <f t="shared" si="2"/>
        <v>259</v>
      </c>
      <c r="M87" s="86"/>
      <c r="N87" s="99">
        <v>630</v>
      </c>
      <c r="O87" s="50">
        <f t="shared" si="6"/>
        <v>163170</v>
      </c>
      <c r="P87" s="50">
        <f t="shared" si="7"/>
        <v>163800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26</v>
      </c>
      <c r="E88" s="11"/>
      <c r="F88" s="11"/>
      <c r="G88" s="16">
        <f t="shared" si="8"/>
        <v>26</v>
      </c>
      <c r="H88" s="88"/>
      <c r="I88" s="11"/>
      <c r="J88" s="76">
        <f t="shared" si="9"/>
        <v>26</v>
      </c>
      <c r="K88" s="97">
        <v>0</v>
      </c>
      <c r="L88" s="76">
        <f t="shared" ref="L88:L97" si="10">J88+K88</f>
        <v>26</v>
      </c>
      <c r="M88" s="86"/>
      <c r="N88" s="99">
        <v>285</v>
      </c>
      <c r="O88" s="50">
        <f t="shared" si="6"/>
        <v>7410</v>
      </c>
      <c r="P88" s="50">
        <f t="shared" si="7"/>
        <v>7410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431</v>
      </c>
      <c r="E92" s="88"/>
      <c r="F92" s="11"/>
      <c r="G92" s="16">
        <f t="shared" si="8"/>
        <v>431</v>
      </c>
      <c r="H92" s="88">
        <v>12</v>
      </c>
      <c r="I92" s="11"/>
      <c r="J92" s="83">
        <f t="shared" si="9"/>
        <v>419</v>
      </c>
      <c r="K92" s="97">
        <v>0</v>
      </c>
      <c r="L92" s="76">
        <f t="shared" si="10"/>
        <v>419</v>
      </c>
      <c r="M92" s="86"/>
      <c r="N92" s="99">
        <v>113</v>
      </c>
      <c r="O92" s="50">
        <f t="shared" si="6"/>
        <v>47347</v>
      </c>
      <c r="P92" s="50">
        <f t="shared" si="7"/>
        <v>47347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240</v>
      </c>
      <c r="E94" s="88"/>
      <c r="F94" s="11"/>
      <c r="G94" s="16">
        <f t="shared" si="8"/>
        <v>240</v>
      </c>
      <c r="H94" s="88"/>
      <c r="I94" s="11"/>
      <c r="J94" s="83">
        <f t="shared" si="9"/>
        <v>240</v>
      </c>
      <c r="K94" s="97">
        <v>-50</v>
      </c>
      <c r="L94" s="76">
        <f t="shared" si="10"/>
        <v>190</v>
      </c>
      <c r="M94" s="86"/>
      <c r="N94" s="99">
        <v>950</v>
      </c>
      <c r="O94" s="50">
        <f t="shared" si="6"/>
        <v>180500</v>
      </c>
      <c r="P94" s="50">
        <f t="shared" si="7"/>
        <v>228000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1462120.2549999999</v>
      </c>
      <c r="E98" s="27">
        <f t="shared" ref="E98:L98" si="11">SUM(E6:E97)</f>
        <v>700</v>
      </c>
      <c r="F98" s="27">
        <f t="shared" si="11"/>
        <v>0</v>
      </c>
      <c r="G98" s="27">
        <f t="shared" si="11"/>
        <v>1462820.2549999999</v>
      </c>
      <c r="H98" s="27">
        <f t="shared" si="11"/>
        <v>14388</v>
      </c>
      <c r="I98" s="27">
        <f t="shared" si="11"/>
        <v>0</v>
      </c>
      <c r="J98" s="27">
        <f t="shared" si="11"/>
        <v>1448432.2549999999</v>
      </c>
      <c r="K98" s="27">
        <f t="shared" si="11"/>
        <v>-575727</v>
      </c>
      <c r="L98" s="27">
        <f t="shared" si="11"/>
        <v>872705.25499999989</v>
      </c>
      <c r="M98" s="27">
        <f>SUM(M6:M96)</f>
        <v>0</v>
      </c>
      <c r="N98" s="51"/>
      <c r="O98" s="51">
        <f t="shared" ref="O98" si="12">SUM(O6:O97)</f>
        <v>32649738.580000002</v>
      </c>
      <c r="P98" s="51">
        <f>SUM(P6:P97)</f>
        <v>44818589.280000001</v>
      </c>
      <c r="Q98" s="57">
        <f>O98-P98</f>
        <v>-12168850.699999999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7" t="s">
        <v>115</v>
      </c>
      <c r="M100" s="117"/>
      <c r="O100" s="55" t="s">
        <v>110</v>
      </c>
      <c r="P100" s="54">
        <v>79909923</v>
      </c>
    </row>
    <row r="101" spans="1:22">
      <c r="P101" s="54">
        <f>P100-P98</f>
        <v>35091333.719999999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81" activePane="bottomLeft" state="frozen"/>
      <selection pane="bottomLeft" activeCell="Q35" sqref="Q35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153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28886</v>
      </c>
      <c r="E6" s="15"/>
      <c r="F6" s="16"/>
      <c r="G6" s="15">
        <f>D6+E6-F6</f>
        <v>28886</v>
      </c>
      <c r="H6" s="15">
        <v>17788</v>
      </c>
      <c r="I6" s="16"/>
      <c r="J6" s="15">
        <f>G6-H6-I6</f>
        <v>11098</v>
      </c>
      <c r="K6" s="15">
        <v>8000</v>
      </c>
      <c r="L6" s="15">
        <f>J6+K6</f>
        <v>19098</v>
      </c>
      <c r="M6" s="30" t="s">
        <v>75</v>
      </c>
      <c r="N6" s="99">
        <v>21.5</v>
      </c>
      <c r="O6" s="50">
        <f>L6*N6</f>
        <v>410607</v>
      </c>
      <c r="P6" s="50">
        <f>J6*N6</f>
        <v>238607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99289</v>
      </c>
      <c r="E7" s="15"/>
      <c r="F7" s="15"/>
      <c r="G7" s="15">
        <f t="shared" ref="G7:G80" si="0">D7+E7-F7</f>
        <v>99289</v>
      </c>
      <c r="H7" s="15">
        <v>7244</v>
      </c>
      <c r="I7" s="15"/>
      <c r="J7" s="15">
        <f t="shared" ref="J7:J70" si="1">G7-H7-I7</f>
        <v>92045</v>
      </c>
      <c r="K7" s="15">
        <v>-5000</v>
      </c>
      <c r="L7" s="15">
        <f t="shared" ref="L7:L87" si="2">J7+K7</f>
        <v>87045</v>
      </c>
      <c r="M7" s="30"/>
      <c r="N7" s="99">
        <v>38</v>
      </c>
      <c r="O7" s="50">
        <f t="shared" ref="O7:O70" si="3">L7*N7</f>
        <v>3307710</v>
      </c>
      <c r="P7" s="50">
        <f t="shared" ref="P7:P70" si="4">J7*N7</f>
        <v>3497710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84640</v>
      </c>
      <c r="E8" s="15"/>
      <c r="F8" s="15"/>
      <c r="G8" s="15">
        <f t="shared" si="0"/>
        <v>84640</v>
      </c>
      <c r="H8" s="15">
        <v>3878</v>
      </c>
      <c r="I8" s="15"/>
      <c r="J8" s="15">
        <f t="shared" si="1"/>
        <v>80762</v>
      </c>
      <c r="K8" s="15">
        <v>0</v>
      </c>
      <c r="L8" s="15">
        <f t="shared" si="2"/>
        <v>80762</v>
      </c>
      <c r="M8" s="30"/>
      <c r="N8" s="99">
        <v>12</v>
      </c>
      <c r="O8" s="50">
        <f t="shared" si="3"/>
        <v>969144</v>
      </c>
      <c r="P8" s="50">
        <f t="shared" si="4"/>
        <v>969144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804500</v>
      </c>
      <c r="E10" s="15"/>
      <c r="F10" s="15"/>
      <c r="G10" s="15">
        <f t="shared" si="0"/>
        <v>804500</v>
      </c>
      <c r="H10" s="15">
        <v>5272</v>
      </c>
      <c r="I10" s="15"/>
      <c r="J10" s="15">
        <f t="shared" si="1"/>
        <v>799228</v>
      </c>
      <c r="K10" s="15">
        <v>-607000</v>
      </c>
      <c r="L10" s="15">
        <f t="shared" si="2"/>
        <v>192228</v>
      </c>
      <c r="M10" s="30"/>
      <c r="N10" s="99">
        <v>23.09</v>
      </c>
      <c r="O10" s="50">
        <f t="shared" si="3"/>
        <v>4438544.5199999996</v>
      </c>
      <c r="P10" s="50">
        <f t="shared" si="4"/>
        <v>18454174.52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9800</v>
      </c>
      <c r="E11" s="15"/>
      <c r="F11" s="15"/>
      <c r="G11" s="15">
        <f t="shared" si="0"/>
        <v>9800</v>
      </c>
      <c r="H11" s="15">
        <v>2262</v>
      </c>
      <c r="I11" s="15"/>
      <c r="J11" s="15">
        <f t="shared" si="1"/>
        <v>7538</v>
      </c>
      <c r="K11" s="15">
        <v>2000</v>
      </c>
      <c r="L11" s="15">
        <f t="shared" si="2"/>
        <v>9538</v>
      </c>
      <c r="M11" s="30" t="s">
        <v>75</v>
      </c>
      <c r="N11" s="99">
        <v>16.5</v>
      </c>
      <c r="O11" s="50">
        <f t="shared" si="3"/>
        <v>157377</v>
      </c>
      <c r="P11" s="50">
        <f t="shared" si="4"/>
        <v>124377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10574</v>
      </c>
      <c r="E13" s="15"/>
      <c r="F13" s="15"/>
      <c r="G13" s="15">
        <f t="shared" si="0"/>
        <v>10574</v>
      </c>
      <c r="H13" s="15">
        <v>5335</v>
      </c>
      <c r="I13" s="15"/>
      <c r="J13" s="15">
        <f t="shared" si="1"/>
        <v>5239</v>
      </c>
      <c r="K13" s="15">
        <v>5000</v>
      </c>
      <c r="L13" s="15">
        <f t="shared" si="2"/>
        <v>10239</v>
      </c>
      <c r="M13" s="30" t="s">
        <v>75</v>
      </c>
      <c r="N13" s="99">
        <v>27.5</v>
      </c>
      <c r="O13" s="50">
        <f t="shared" si="3"/>
        <v>281572.5</v>
      </c>
      <c r="P13" s="50">
        <f t="shared" si="4"/>
        <v>144072.5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11912</v>
      </c>
      <c r="E14" s="15"/>
      <c r="F14" s="15"/>
      <c r="G14" s="15">
        <f t="shared" si="0"/>
        <v>11912</v>
      </c>
      <c r="H14" s="15">
        <v>726</v>
      </c>
      <c r="I14" s="16"/>
      <c r="J14" s="15">
        <f t="shared" si="1"/>
        <v>11186</v>
      </c>
      <c r="K14" s="15">
        <v>-1000</v>
      </c>
      <c r="L14" s="15">
        <f t="shared" si="2"/>
        <v>10186</v>
      </c>
      <c r="M14" s="30"/>
      <c r="N14" s="99">
        <v>59</v>
      </c>
      <c r="O14" s="50">
        <f t="shared" si="3"/>
        <v>600974</v>
      </c>
      <c r="P14" s="50">
        <f t="shared" si="4"/>
        <v>659974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18688</v>
      </c>
      <c r="E16" s="29"/>
      <c r="F16" s="15"/>
      <c r="G16" s="15">
        <f t="shared" si="0"/>
        <v>18688</v>
      </c>
      <c r="H16" s="15"/>
      <c r="I16" s="16"/>
      <c r="J16" s="15">
        <f t="shared" si="1"/>
        <v>18688</v>
      </c>
      <c r="K16" s="15">
        <v>0</v>
      </c>
      <c r="L16" s="15">
        <f>J16+K16</f>
        <v>18688</v>
      </c>
      <c r="M16" s="30"/>
      <c r="N16" s="99">
        <v>43.25</v>
      </c>
      <c r="O16" s="50">
        <f t="shared" si="3"/>
        <v>808256</v>
      </c>
      <c r="P16" s="50">
        <f t="shared" si="4"/>
        <v>808256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5595</v>
      </c>
      <c r="E19" s="15"/>
      <c r="F19" s="15"/>
      <c r="G19" s="15">
        <f t="shared" si="0"/>
        <v>5595</v>
      </c>
      <c r="H19" s="15"/>
      <c r="I19" s="16"/>
      <c r="J19" s="15">
        <f t="shared" si="1"/>
        <v>5595</v>
      </c>
      <c r="K19" s="15">
        <v>1000</v>
      </c>
      <c r="L19" s="15">
        <f t="shared" si="2"/>
        <v>6595</v>
      </c>
      <c r="M19" s="30"/>
      <c r="N19" s="99">
        <v>22.8</v>
      </c>
      <c r="O19" s="50">
        <f t="shared" si="3"/>
        <v>150366</v>
      </c>
      <c r="P19" s="50">
        <f t="shared" si="4"/>
        <v>127566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5660</v>
      </c>
      <c r="E20" s="15"/>
      <c r="F20" s="15"/>
      <c r="G20" s="15">
        <f t="shared" si="0"/>
        <v>5660</v>
      </c>
      <c r="H20" s="15"/>
      <c r="I20" s="16"/>
      <c r="J20" s="15">
        <f t="shared" si="1"/>
        <v>5660</v>
      </c>
      <c r="K20" s="15">
        <v>0</v>
      </c>
      <c r="L20" s="15">
        <f t="shared" si="2"/>
        <v>5660</v>
      </c>
      <c r="M20" s="30" t="s">
        <v>75</v>
      </c>
      <c r="N20" s="99">
        <v>20</v>
      </c>
      <c r="O20" s="50">
        <f t="shared" si="3"/>
        <v>113200</v>
      </c>
      <c r="P20" s="50">
        <f t="shared" si="4"/>
        <v>113200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2843</v>
      </c>
      <c r="E21" s="15"/>
      <c r="F21" s="15"/>
      <c r="G21" s="15">
        <f t="shared" si="0"/>
        <v>2843</v>
      </c>
      <c r="H21" s="15">
        <v>887</v>
      </c>
      <c r="I21" s="16"/>
      <c r="J21" s="15">
        <f t="shared" si="1"/>
        <v>1956</v>
      </c>
      <c r="K21" s="15">
        <v>0</v>
      </c>
      <c r="L21" s="15">
        <f t="shared" si="2"/>
        <v>1956</v>
      </c>
      <c r="M21" s="30"/>
      <c r="N21" s="99">
        <v>8.5</v>
      </c>
      <c r="O21" s="50">
        <f t="shared" si="3"/>
        <v>16626</v>
      </c>
      <c r="P21" s="50">
        <f t="shared" si="4"/>
        <v>16626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229131</v>
      </c>
      <c r="E22" s="15"/>
      <c r="F22" s="15"/>
      <c r="G22" s="15">
        <f t="shared" si="0"/>
        <v>229131</v>
      </c>
      <c r="H22" s="15">
        <v>630</v>
      </c>
      <c r="I22" s="16"/>
      <c r="J22" s="15">
        <f t="shared" si="1"/>
        <v>228501</v>
      </c>
      <c r="K22" s="15">
        <v>8000</v>
      </c>
      <c r="L22" s="15">
        <f t="shared" si="2"/>
        <v>236501</v>
      </c>
      <c r="M22" s="30"/>
      <c r="N22" s="99">
        <v>8.5</v>
      </c>
      <c r="O22" s="50">
        <f t="shared" si="3"/>
        <v>2010258.5</v>
      </c>
      <c r="P22" s="50">
        <f t="shared" si="4"/>
        <v>1942258.5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5821</v>
      </c>
      <c r="E23" s="15"/>
      <c r="F23" s="15"/>
      <c r="G23" s="15">
        <f t="shared" si="0"/>
        <v>5821</v>
      </c>
      <c r="H23" s="15">
        <v>365</v>
      </c>
      <c r="I23" s="16"/>
      <c r="J23" s="15">
        <f t="shared" si="1"/>
        <v>5456</v>
      </c>
      <c r="K23" s="15">
        <v>1500</v>
      </c>
      <c r="L23" s="15">
        <f t="shared" si="2"/>
        <v>6956</v>
      </c>
      <c r="M23" s="30" t="s">
        <v>75</v>
      </c>
      <c r="N23" s="99">
        <v>82</v>
      </c>
      <c r="O23" s="50">
        <f t="shared" si="3"/>
        <v>570392</v>
      </c>
      <c r="P23" s="50">
        <f t="shared" si="4"/>
        <v>447392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11025</v>
      </c>
      <c r="E24" s="29"/>
      <c r="F24" s="29"/>
      <c r="G24" s="15">
        <f t="shared" si="0"/>
        <v>11025</v>
      </c>
      <c r="H24" s="15">
        <v>1482</v>
      </c>
      <c r="I24" s="16"/>
      <c r="J24" s="15">
        <f t="shared" si="1"/>
        <v>9543</v>
      </c>
      <c r="K24" s="15">
        <v>2713</v>
      </c>
      <c r="L24" s="15">
        <f t="shared" si="2"/>
        <v>12256</v>
      </c>
      <c r="M24" s="30"/>
      <c r="N24" s="99">
        <v>22.1</v>
      </c>
      <c r="O24" s="50">
        <f t="shared" si="3"/>
        <v>270857.60000000003</v>
      </c>
      <c r="P24" s="50">
        <f t="shared" si="4"/>
        <v>210900.30000000002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-46</v>
      </c>
      <c r="E26" s="15"/>
      <c r="F26" s="15"/>
      <c r="G26" s="15">
        <f t="shared" si="0"/>
        <v>-46</v>
      </c>
      <c r="H26" s="15"/>
      <c r="I26" s="16"/>
      <c r="J26" s="76">
        <f t="shared" si="1"/>
        <v>-46</v>
      </c>
      <c r="K26" s="76">
        <v>46</v>
      </c>
      <c r="L26" s="76">
        <f t="shared" si="2"/>
        <v>0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9990</v>
      </c>
      <c r="E31" s="15"/>
      <c r="F31" s="15"/>
      <c r="G31" s="15">
        <f t="shared" si="0"/>
        <v>9990</v>
      </c>
      <c r="H31" s="15"/>
      <c r="I31" s="16"/>
      <c r="J31" s="76">
        <f t="shared" si="1"/>
        <v>9990</v>
      </c>
      <c r="K31" s="76">
        <v>0</v>
      </c>
      <c r="L31" s="76">
        <f t="shared" si="2"/>
        <v>9990</v>
      </c>
      <c r="M31" s="78"/>
      <c r="N31" s="99">
        <v>60</v>
      </c>
      <c r="O31" s="50">
        <f t="shared" si="3"/>
        <v>599400</v>
      </c>
      <c r="P31" s="50">
        <f t="shared" si="4"/>
        <v>599400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17048</v>
      </c>
      <c r="E32" s="15"/>
      <c r="F32" s="15"/>
      <c r="G32" s="15">
        <f t="shared" si="0"/>
        <v>17048</v>
      </c>
      <c r="H32" s="15">
        <v>4550</v>
      </c>
      <c r="I32" s="16"/>
      <c r="J32" s="76">
        <f t="shared" si="1"/>
        <v>12498</v>
      </c>
      <c r="K32" s="76"/>
      <c r="L32" s="76">
        <f t="shared" si="2"/>
        <v>12498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13937</v>
      </c>
      <c r="E33" s="15"/>
      <c r="F33" s="15"/>
      <c r="G33" s="15">
        <f t="shared" si="0"/>
        <v>13937</v>
      </c>
      <c r="H33" s="15">
        <v>270</v>
      </c>
      <c r="I33" s="16"/>
      <c r="J33" s="76">
        <f t="shared" si="1"/>
        <v>13667</v>
      </c>
      <c r="K33" s="76">
        <v>206</v>
      </c>
      <c r="L33" s="76">
        <f t="shared" si="2"/>
        <v>13873</v>
      </c>
      <c r="M33" s="30"/>
      <c r="N33" s="99">
        <v>12.49</v>
      </c>
      <c r="O33" s="50">
        <f t="shared" si="3"/>
        <v>173273.77</v>
      </c>
      <c r="P33" s="50">
        <f t="shared" si="4"/>
        <v>170700.83000000002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171</v>
      </c>
      <c r="E34" s="15"/>
      <c r="F34" s="15"/>
      <c r="G34" s="15">
        <f t="shared" si="0"/>
        <v>171</v>
      </c>
      <c r="H34" s="15"/>
      <c r="I34" s="16"/>
      <c r="J34" s="76">
        <f t="shared" si="1"/>
        <v>171</v>
      </c>
      <c r="K34" s="76">
        <v>-50</v>
      </c>
      <c r="L34" s="76">
        <f t="shared" si="2"/>
        <v>121</v>
      </c>
      <c r="M34" s="77"/>
      <c r="N34" s="99">
        <v>435</v>
      </c>
      <c r="O34" s="50">
        <f t="shared" si="3"/>
        <v>52635</v>
      </c>
      <c r="P34" s="50">
        <f t="shared" si="4"/>
        <v>74385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117</v>
      </c>
      <c r="E35" s="15"/>
      <c r="F35" s="15"/>
      <c r="G35" s="15">
        <f t="shared" si="0"/>
        <v>117</v>
      </c>
      <c r="H35" s="15"/>
      <c r="I35" s="16"/>
      <c r="J35" s="76">
        <f>G35-H35-I35</f>
        <v>117</v>
      </c>
      <c r="K35" s="76">
        <v>-50</v>
      </c>
      <c r="L35" s="76">
        <f t="shared" si="2"/>
        <v>67</v>
      </c>
      <c r="M35" s="84"/>
      <c r="N35" s="99">
        <v>730</v>
      </c>
      <c r="O35" s="50">
        <f t="shared" si="3"/>
        <v>48910</v>
      </c>
      <c r="P35" s="50">
        <f t="shared" si="4"/>
        <v>85410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331</v>
      </c>
      <c r="E36" s="15"/>
      <c r="F36" s="15"/>
      <c r="G36" s="15">
        <f t="shared" si="0"/>
        <v>331</v>
      </c>
      <c r="H36" s="16"/>
      <c r="I36" s="16"/>
      <c r="J36" s="76">
        <f t="shared" si="1"/>
        <v>331</v>
      </c>
      <c r="K36" s="76">
        <v>-125</v>
      </c>
      <c r="L36" s="76">
        <f t="shared" si="2"/>
        <v>206</v>
      </c>
      <c r="M36" s="84"/>
      <c r="N36" s="99">
        <v>155</v>
      </c>
      <c r="O36" s="50">
        <f t="shared" si="3"/>
        <v>31930</v>
      </c>
      <c r="P36" s="50">
        <f t="shared" si="4"/>
        <v>51305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1303</v>
      </c>
      <c r="E37" s="15"/>
      <c r="F37" s="15"/>
      <c r="G37" s="15">
        <f t="shared" si="0"/>
        <v>1303</v>
      </c>
      <c r="H37" s="16">
        <v>122</v>
      </c>
      <c r="I37" s="16"/>
      <c r="J37" s="76">
        <f t="shared" si="1"/>
        <v>1181</v>
      </c>
      <c r="K37" s="76">
        <v>0</v>
      </c>
      <c r="L37" s="76">
        <f t="shared" si="2"/>
        <v>1181</v>
      </c>
      <c r="M37" s="84"/>
      <c r="N37" s="99">
        <v>125</v>
      </c>
      <c r="O37" s="50">
        <f t="shared" si="3"/>
        <v>147625</v>
      </c>
      <c r="P37" s="50">
        <f t="shared" si="4"/>
        <v>147625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289</v>
      </c>
      <c r="E39" s="15"/>
      <c r="F39" s="15"/>
      <c r="G39" s="15">
        <f t="shared" si="0"/>
        <v>289</v>
      </c>
      <c r="H39" s="16"/>
      <c r="I39" s="16"/>
      <c r="J39" s="76">
        <f t="shared" si="1"/>
        <v>289</v>
      </c>
      <c r="K39" s="76">
        <v>-70</v>
      </c>
      <c r="L39" s="76">
        <f t="shared" si="2"/>
        <v>219</v>
      </c>
      <c r="M39" s="84"/>
      <c r="N39" s="99">
        <v>975</v>
      </c>
      <c r="O39" s="50">
        <f t="shared" si="3"/>
        <v>213525</v>
      </c>
      <c r="P39" s="50">
        <f t="shared" si="4"/>
        <v>281775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683</v>
      </c>
      <c r="E41" s="15"/>
      <c r="F41" s="15"/>
      <c r="G41" s="15">
        <f t="shared" si="0"/>
        <v>683</v>
      </c>
      <c r="H41" s="16"/>
      <c r="I41" s="16"/>
      <c r="J41" s="76">
        <f t="shared" si="1"/>
        <v>683</v>
      </c>
      <c r="K41" s="76">
        <v>500</v>
      </c>
      <c r="L41" s="76">
        <f t="shared" si="2"/>
        <v>1183</v>
      </c>
      <c r="M41" s="84"/>
      <c r="N41" s="99">
        <v>125</v>
      </c>
      <c r="O41" s="50">
        <f t="shared" si="3"/>
        <v>147875</v>
      </c>
      <c r="P41" s="50">
        <f t="shared" si="4"/>
        <v>85375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10638</v>
      </c>
      <c r="E44" s="15"/>
      <c r="F44" s="15"/>
      <c r="G44" s="15">
        <f t="shared" si="0"/>
        <v>10638</v>
      </c>
      <c r="H44" s="16">
        <v>86</v>
      </c>
      <c r="I44" s="16"/>
      <c r="J44" s="76">
        <f t="shared" si="1"/>
        <v>10552</v>
      </c>
      <c r="K44" s="76">
        <v>2200</v>
      </c>
      <c r="L44" s="76">
        <f t="shared" si="2"/>
        <v>12752</v>
      </c>
      <c r="M44" s="84"/>
      <c r="N44" s="99">
        <v>80</v>
      </c>
      <c r="O44" s="50">
        <f t="shared" si="3"/>
        <v>1020160</v>
      </c>
      <c r="P44" s="50">
        <f t="shared" si="4"/>
        <v>844160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15936</v>
      </c>
      <c r="E46" s="15"/>
      <c r="F46" s="15"/>
      <c r="G46" s="15">
        <f t="shared" si="0"/>
        <v>15936</v>
      </c>
      <c r="H46" s="16">
        <v>31</v>
      </c>
      <c r="I46" s="16"/>
      <c r="J46" s="76">
        <f t="shared" si="1"/>
        <v>15905</v>
      </c>
      <c r="K46" s="76">
        <v>-180</v>
      </c>
      <c r="L46" s="76">
        <f t="shared" si="2"/>
        <v>15725</v>
      </c>
      <c r="M46" s="84"/>
      <c r="N46" s="99">
        <v>275</v>
      </c>
      <c r="O46" s="50">
        <f t="shared" si="3"/>
        <v>4324375</v>
      </c>
      <c r="P46" s="50">
        <f t="shared" si="4"/>
        <v>4373875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1000</v>
      </c>
      <c r="E47" s="15"/>
      <c r="F47" s="15"/>
      <c r="G47" s="15">
        <f t="shared" si="0"/>
        <v>1000</v>
      </c>
      <c r="H47" s="15">
        <v>42</v>
      </c>
      <c r="I47" s="16"/>
      <c r="J47" s="76">
        <f t="shared" si="1"/>
        <v>958</v>
      </c>
      <c r="K47" s="76">
        <v>0</v>
      </c>
      <c r="L47" s="76">
        <f t="shared" si="2"/>
        <v>958</v>
      </c>
      <c r="M47" s="84"/>
      <c r="N47" s="99">
        <v>250</v>
      </c>
      <c r="O47" s="50">
        <f t="shared" si="3"/>
        <v>239500</v>
      </c>
      <c r="P47" s="50">
        <f t="shared" si="4"/>
        <v>239500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385</v>
      </c>
      <c r="E49" s="15"/>
      <c r="F49" s="15"/>
      <c r="G49" s="15">
        <f t="shared" si="0"/>
        <v>385</v>
      </c>
      <c r="H49" s="15">
        <v>32</v>
      </c>
      <c r="I49" s="16"/>
      <c r="J49" s="76">
        <f t="shared" si="1"/>
        <v>353</v>
      </c>
      <c r="K49" s="76">
        <v>45</v>
      </c>
      <c r="L49" s="76">
        <f t="shared" si="2"/>
        <v>398</v>
      </c>
      <c r="M49" s="84"/>
      <c r="N49" s="99">
        <v>800</v>
      </c>
      <c r="O49" s="50">
        <f t="shared" si="3"/>
        <v>318400</v>
      </c>
      <c r="P49" s="50">
        <f t="shared" si="4"/>
        <v>282400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78</v>
      </c>
      <c r="E53" s="15"/>
      <c r="F53" s="15"/>
      <c r="G53" s="15">
        <f t="shared" si="0"/>
        <v>78</v>
      </c>
      <c r="H53" s="15"/>
      <c r="I53" s="20"/>
      <c r="J53" s="76">
        <f t="shared" si="1"/>
        <v>78</v>
      </c>
      <c r="K53" s="76">
        <v>0</v>
      </c>
      <c r="L53" s="76">
        <f t="shared" si="2"/>
        <v>78</v>
      </c>
      <c r="M53" s="84"/>
      <c r="N53" s="99">
        <v>1600</v>
      </c>
      <c r="O53" s="50">
        <f t="shared" si="3"/>
        <v>124800</v>
      </c>
      <c r="P53" s="50">
        <f t="shared" si="4"/>
        <v>124800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727</v>
      </c>
      <c r="E54" s="15"/>
      <c r="F54" s="15"/>
      <c r="G54" s="15">
        <f t="shared" si="0"/>
        <v>727</v>
      </c>
      <c r="H54" s="15"/>
      <c r="I54" s="16"/>
      <c r="J54" s="76">
        <f t="shared" si="1"/>
        <v>727</v>
      </c>
      <c r="K54" s="76">
        <v>-350</v>
      </c>
      <c r="L54" s="76">
        <f t="shared" si="2"/>
        <v>377</v>
      </c>
      <c r="M54" s="84"/>
      <c r="N54" s="99">
        <v>375</v>
      </c>
      <c r="O54" s="50">
        <f t="shared" si="3"/>
        <v>141375</v>
      </c>
      <c r="P54" s="50">
        <f t="shared" si="4"/>
        <v>272625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123</v>
      </c>
      <c r="E55" s="15"/>
      <c r="F55" s="15"/>
      <c r="G55" s="15">
        <f t="shared" si="0"/>
        <v>123</v>
      </c>
      <c r="H55" s="15"/>
      <c r="I55" s="21"/>
      <c r="J55" s="76">
        <f t="shared" si="1"/>
        <v>123</v>
      </c>
      <c r="K55" s="76">
        <v>9</v>
      </c>
      <c r="L55" s="76">
        <f t="shared" si="2"/>
        <v>132</v>
      </c>
      <c r="M55" s="30"/>
      <c r="N55" s="99">
        <v>425</v>
      </c>
      <c r="O55" s="50">
        <f t="shared" si="3"/>
        <v>56100</v>
      </c>
      <c r="P55" s="50">
        <f t="shared" si="4"/>
        <v>52275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470</v>
      </c>
      <c r="E56" s="15"/>
      <c r="F56" s="15"/>
      <c r="G56" s="15">
        <f t="shared" si="0"/>
        <v>470</v>
      </c>
      <c r="H56" s="15">
        <v>4</v>
      </c>
      <c r="I56" s="22"/>
      <c r="J56" s="76">
        <f t="shared" si="1"/>
        <v>466</v>
      </c>
      <c r="K56" s="76">
        <v>-200</v>
      </c>
      <c r="L56" s="76">
        <f t="shared" si="2"/>
        <v>266</v>
      </c>
      <c r="M56" s="84"/>
      <c r="N56" s="99">
        <v>390</v>
      </c>
      <c r="O56" s="50">
        <f t="shared" si="3"/>
        <v>103740</v>
      </c>
      <c r="P56" s="50">
        <f t="shared" si="4"/>
        <v>181740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-49</v>
      </c>
      <c r="E58" s="15"/>
      <c r="F58" s="15"/>
      <c r="G58" s="15">
        <f t="shared" si="0"/>
        <v>-49</v>
      </c>
      <c r="H58" s="15"/>
      <c r="I58" s="16"/>
      <c r="J58" s="76">
        <f t="shared" si="1"/>
        <v>-49</v>
      </c>
      <c r="K58" s="76">
        <v>50</v>
      </c>
      <c r="L58" s="76">
        <f t="shared" si="2"/>
        <v>1</v>
      </c>
      <c r="M58" s="30"/>
      <c r="N58" s="99">
        <v>132</v>
      </c>
      <c r="O58" s="50">
        <f t="shared" si="3"/>
        <v>132</v>
      </c>
      <c r="P58" s="50">
        <f t="shared" si="4"/>
        <v>-6468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371</v>
      </c>
      <c r="E59" s="15"/>
      <c r="F59" s="15"/>
      <c r="G59" s="15">
        <f t="shared" si="0"/>
        <v>371</v>
      </c>
      <c r="H59" s="15"/>
      <c r="I59" s="16"/>
      <c r="J59" s="76">
        <f t="shared" si="1"/>
        <v>371</v>
      </c>
      <c r="K59" s="76">
        <v>0</v>
      </c>
      <c r="L59" s="76">
        <f t="shared" si="2"/>
        <v>371</v>
      </c>
      <c r="M59" s="84"/>
      <c r="N59" s="99">
        <v>570</v>
      </c>
      <c r="O59" s="50">
        <f t="shared" si="3"/>
        <v>211470</v>
      </c>
      <c r="P59" s="50">
        <f t="shared" si="4"/>
        <v>211470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5571</v>
      </c>
      <c r="E62" s="15"/>
      <c r="F62" s="15"/>
      <c r="G62" s="15">
        <f t="shared" si="0"/>
        <v>5571</v>
      </c>
      <c r="H62" s="15">
        <v>7</v>
      </c>
      <c r="I62" s="16"/>
      <c r="J62" s="76">
        <f t="shared" si="1"/>
        <v>5564</v>
      </c>
      <c r="K62" s="76">
        <v>187</v>
      </c>
      <c r="L62" s="76">
        <f t="shared" si="2"/>
        <v>5751</v>
      </c>
      <c r="M62" s="30"/>
      <c r="N62" s="99">
        <v>87.38</v>
      </c>
      <c r="O62" s="50">
        <f t="shared" si="3"/>
        <v>502522.37999999995</v>
      </c>
      <c r="P62" s="50">
        <f t="shared" si="4"/>
        <v>486182.31999999995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5</v>
      </c>
      <c r="E63" s="15"/>
      <c r="F63" s="15"/>
      <c r="G63" s="15">
        <f t="shared" si="0"/>
        <v>5</v>
      </c>
      <c r="H63" s="15"/>
      <c r="I63" s="16"/>
      <c r="J63" s="76">
        <f t="shared" si="1"/>
        <v>5</v>
      </c>
      <c r="K63" s="76">
        <v>300</v>
      </c>
      <c r="L63" s="76">
        <f t="shared" si="2"/>
        <v>305</v>
      </c>
      <c r="M63" s="84"/>
      <c r="N63" s="99">
        <v>290</v>
      </c>
      <c r="O63" s="50">
        <f t="shared" si="3"/>
        <v>88450</v>
      </c>
      <c r="P63" s="50">
        <f t="shared" si="4"/>
        <v>1450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49</v>
      </c>
      <c r="E64" s="23"/>
      <c r="F64" s="23"/>
      <c r="G64" s="23">
        <f t="shared" si="0"/>
        <v>49</v>
      </c>
      <c r="H64" s="23">
        <v>34</v>
      </c>
      <c r="I64" s="23"/>
      <c r="J64" s="76">
        <f t="shared" si="1"/>
        <v>15</v>
      </c>
      <c r="K64" s="79">
        <v>100</v>
      </c>
      <c r="L64" s="76">
        <f t="shared" si="2"/>
        <v>115</v>
      </c>
      <c r="M64" s="30"/>
      <c r="N64" s="99">
        <v>70</v>
      </c>
      <c r="O64" s="50">
        <f t="shared" si="3"/>
        <v>8050</v>
      </c>
      <c r="P64" s="50">
        <f t="shared" si="4"/>
        <v>1050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-15</v>
      </c>
      <c r="E65" s="24"/>
      <c r="F65" s="24"/>
      <c r="G65" s="16">
        <f t="shared" si="0"/>
        <v>-15</v>
      </c>
      <c r="H65" s="24"/>
      <c r="I65" s="24"/>
      <c r="J65" s="76">
        <f t="shared" si="1"/>
        <v>-15</v>
      </c>
      <c r="K65" s="80">
        <v>15</v>
      </c>
      <c r="L65" s="76">
        <f t="shared" si="2"/>
        <v>0</v>
      </c>
      <c r="M65" s="86"/>
      <c r="N65" s="99">
        <v>240</v>
      </c>
      <c r="O65" s="50">
        <f t="shared" si="3"/>
        <v>0</v>
      </c>
      <c r="P65" s="50">
        <f t="shared" si="4"/>
        <v>-3600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325</v>
      </c>
      <c r="E66" s="24"/>
      <c r="F66" s="24"/>
      <c r="G66" s="16">
        <f t="shared" si="0"/>
        <v>325</v>
      </c>
      <c r="H66" s="24"/>
      <c r="I66" s="24"/>
      <c r="J66" s="76">
        <f t="shared" si="1"/>
        <v>325</v>
      </c>
      <c r="K66" s="81">
        <v>0</v>
      </c>
      <c r="L66" s="81">
        <f t="shared" si="2"/>
        <v>325</v>
      </c>
      <c r="M66" s="86"/>
      <c r="N66" s="99">
        <v>1100</v>
      </c>
      <c r="O66" s="50">
        <f t="shared" si="3"/>
        <v>357500</v>
      </c>
      <c r="P66" s="50">
        <f t="shared" si="4"/>
        <v>357500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-2681</v>
      </c>
      <c r="E67" s="24"/>
      <c r="F67" s="24"/>
      <c r="G67" s="16">
        <f t="shared" si="0"/>
        <v>-2681</v>
      </c>
      <c r="H67" s="24"/>
      <c r="I67" s="24"/>
      <c r="J67" s="76">
        <f t="shared" si="1"/>
        <v>-2681</v>
      </c>
      <c r="K67" s="80">
        <v>2800</v>
      </c>
      <c r="L67" s="76">
        <f t="shared" si="2"/>
        <v>119</v>
      </c>
      <c r="M67" s="84"/>
      <c r="N67" s="99">
        <v>53</v>
      </c>
      <c r="O67" s="50">
        <f t="shared" si="3"/>
        <v>6307</v>
      </c>
      <c r="P67" s="50">
        <f t="shared" si="4"/>
        <v>-142093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433</v>
      </c>
      <c r="E70" s="24"/>
      <c r="F70" s="24"/>
      <c r="G70" s="16">
        <f t="shared" si="0"/>
        <v>433</v>
      </c>
      <c r="H70" s="24"/>
      <c r="I70" s="24"/>
      <c r="J70" s="76">
        <f t="shared" si="1"/>
        <v>433</v>
      </c>
      <c r="K70" s="80">
        <v>-153</v>
      </c>
      <c r="L70" s="76">
        <f t="shared" si="2"/>
        <v>280</v>
      </c>
      <c r="M70" s="86"/>
      <c r="N70" s="99">
        <v>260</v>
      </c>
      <c r="O70" s="50">
        <f t="shared" si="3"/>
        <v>72800</v>
      </c>
      <c r="P70" s="50">
        <f t="shared" si="4"/>
        <v>112580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3318</v>
      </c>
      <c r="E72" s="24"/>
      <c r="F72" s="24"/>
      <c r="G72" s="16">
        <f t="shared" si="0"/>
        <v>3318</v>
      </c>
      <c r="H72" s="24">
        <v>68</v>
      </c>
      <c r="I72" s="24"/>
      <c r="J72" s="76">
        <f t="shared" si="5"/>
        <v>3250</v>
      </c>
      <c r="K72" s="80">
        <v>-200</v>
      </c>
      <c r="L72" s="76">
        <f t="shared" si="2"/>
        <v>3050</v>
      </c>
      <c r="M72" s="30"/>
      <c r="N72" s="99">
        <v>39</v>
      </c>
      <c r="O72" s="50">
        <f t="shared" si="6"/>
        <v>118950</v>
      </c>
      <c r="P72" s="50">
        <f t="shared" si="7"/>
        <v>126750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18125</v>
      </c>
      <c r="E73" s="24"/>
      <c r="F73" s="24"/>
      <c r="G73" s="16">
        <f t="shared" si="0"/>
        <v>18125</v>
      </c>
      <c r="H73" s="24">
        <v>186</v>
      </c>
      <c r="I73" s="42"/>
      <c r="J73" s="76">
        <f t="shared" si="5"/>
        <v>17939</v>
      </c>
      <c r="K73" s="80">
        <v>0</v>
      </c>
      <c r="L73" s="76">
        <f t="shared" si="2"/>
        <v>17939</v>
      </c>
      <c r="M73" s="84"/>
      <c r="N73" s="99">
        <v>83</v>
      </c>
      <c r="O73" s="50">
        <f t="shared" si="6"/>
        <v>1488937</v>
      </c>
      <c r="P73" s="50">
        <f t="shared" si="7"/>
        <v>1488937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1122</v>
      </c>
      <c r="E75" s="24">
        <v>2000</v>
      </c>
      <c r="F75" s="24"/>
      <c r="G75" s="16">
        <f t="shared" si="0"/>
        <v>3122</v>
      </c>
      <c r="H75" s="24">
        <v>363</v>
      </c>
      <c r="I75" s="24"/>
      <c r="J75" s="76">
        <f t="shared" si="5"/>
        <v>2759</v>
      </c>
      <c r="K75" s="80">
        <v>273</v>
      </c>
      <c r="L75" s="76">
        <f t="shared" si="2"/>
        <v>3032</v>
      </c>
      <c r="M75" s="86"/>
      <c r="N75" s="99">
        <v>16</v>
      </c>
      <c r="O75" s="50">
        <f t="shared" si="6"/>
        <v>48512</v>
      </c>
      <c r="P75" s="50">
        <f t="shared" si="7"/>
        <v>44144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322</v>
      </c>
      <c r="E76" s="24"/>
      <c r="F76" s="24"/>
      <c r="G76" s="16">
        <f t="shared" si="0"/>
        <v>322</v>
      </c>
      <c r="H76" s="24"/>
      <c r="I76" s="24"/>
      <c r="J76" s="76">
        <f t="shared" si="5"/>
        <v>322</v>
      </c>
      <c r="K76" s="80">
        <v>-250</v>
      </c>
      <c r="L76" s="76">
        <f t="shared" si="2"/>
        <v>72</v>
      </c>
      <c r="M76" s="30"/>
      <c r="N76" s="99">
        <v>400</v>
      </c>
      <c r="O76" s="50">
        <f t="shared" si="6"/>
        <v>28800</v>
      </c>
      <c r="P76" s="50">
        <f t="shared" si="7"/>
        <v>128800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316</v>
      </c>
      <c r="E78" s="24"/>
      <c r="F78" s="24"/>
      <c r="G78" s="16">
        <f t="shared" si="0"/>
        <v>316</v>
      </c>
      <c r="H78" s="24"/>
      <c r="I78" s="24"/>
      <c r="J78" s="76">
        <f t="shared" si="5"/>
        <v>316</v>
      </c>
      <c r="K78" s="80">
        <v>100</v>
      </c>
      <c r="L78" s="76">
        <f t="shared" si="2"/>
        <v>416</v>
      </c>
      <c r="M78" s="86"/>
      <c r="N78" s="99">
        <v>900</v>
      </c>
      <c r="O78" s="50">
        <f t="shared" si="6"/>
        <v>374400</v>
      </c>
      <c r="P78" s="50">
        <f t="shared" si="7"/>
        <v>284400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5013</v>
      </c>
      <c r="E83" s="98"/>
      <c r="F83" s="24"/>
      <c r="G83" s="16">
        <f t="shared" si="8"/>
        <v>5013</v>
      </c>
      <c r="H83" s="24"/>
      <c r="I83" s="95"/>
      <c r="J83" s="76">
        <f t="shared" si="5"/>
        <v>5013</v>
      </c>
      <c r="K83" s="81">
        <v>0</v>
      </c>
      <c r="L83" s="76">
        <f t="shared" si="2"/>
        <v>5013</v>
      </c>
      <c r="M83" s="85"/>
      <c r="N83" s="100">
        <v>64</v>
      </c>
      <c r="O83" s="50">
        <f t="shared" si="6"/>
        <v>320832</v>
      </c>
      <c r="P83" s="50">
        <f t="shared" si="7"/>
        <v>320832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16</v>
      </c>
      <c r="E84" s="89"/>
      <c r="F84" s="12"/>
      <c r="G84" s="45">
        <f t="shared" si="8"/>
        <v>16</v>
      </c>
      <c r="H84" s="12">
        <v>3</v>
      </c>
      <c r="I84" s="94"/>
      <c r="J84" s="82">
        <f t="shared" ref="J84:J97" si="9">D84+E84-H84-I84</f>
        <v>13</v>
      </c>
      <c r="K84" s="96">
        <v>0</v>
      </c>
      <c r="L84" s="82">
        <f t="shared" si="2"/>
        <v>13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-19</v>
      </c>
      <c r="E85" s="90"/>
      <c r="F85" s="11"/>
      <c r="G85" s="16">
        <f t="shared" si="8"/>
        <v>-19</v>
      </c>
      <c r="H85" s="88"/>
      <c r="I85" s="11"/>
      <c r="J85" s="76">
        <f t="shared" si="9"/>
        <v>-19</v>
      </c>
      <c r="K85" s="97">
        <v>500</v>
      </c>
      <c r="L85" s="76">
        <f t="shared" si="2"/>
        <v>481</v>
      </c>
      <c r="M85" s="86"/>
      <c r="N85" s="99">
        <v>350</v>
      </c>
      <c r="O85" s="50">
        <f t="shared" si="6"/>
        <v>168350</v>
      </c>
      <c r="P85" s="50">
        <f t="shared" si="7"/>
        <v>-6650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401</v>
      </c>
      <c r="E86" s="90"/>
      <c r="F86" s="11"/>
      <c r="G86" s="16">
        <f t="shared" si="8"/>
        <v>401</v>
      </c>
      <c r="H86" s="88"/>
      <c r="I86" s="11"/>
      <c r="J86" s="76">
        <f t="shared" si="9"/>
        <v>401</v>
      </c>
      <c r="K86" s="97">
        <v>300</v>
      </c>
      <c r="L86" s="76">
        <f t="shared" si="2"/>
        <v>701</v>
      </c>
      <c r="M86" s="84"/>
      <c r="N86" s="99">
        <v>165</v>
      </c>
      <c r="O86" s="50">
        <f t="shared" si="6"/>
        <v>115665</v>
      </c>
      <c r="P86" s="50">
        <f t="shared" si="7"/>
        <v>66165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260</v>
      </c>
      <c r="E87" s="11"/>
      <c r="F87" s="11"/>
      <c r="G87" s="16">
        <f t="shared" si="8"/>
        <v>260</v>
      </c>
      <c r="H87" s="88"/>
      <c r="I87" s="11"/>
      <c r="J87" s="76">
        <f t="shared" si="9"/>
        <v>260</v>
      </c>
      <c r="K87" s="97">
        <v>-1</v>
      </c>
      <c r="L87" s="76">
        <f t="shared" si="2"/>
        <v>259</v>
      </c>
      <c r="M87" s="86"/>
      <c r="N87" s="99">
        <v>630</v>
      </c>
      <c r="O87" s="50">
        <f t="shared" si="6"/>
        <v>163170</v>
      </c>
      <c r="P87" s="50">
        <f t="shared" si="7"/>
        <v>163800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26</v>
      </c>
      <c r="E88" s="11"/>
      <c r="F88" s="11"/>
      <c r="G88" s="16">
        <f t="shared" si="8"/>
        <v>26</v>
      </c>
      <c r="H88" s="88"/>
      <c r="I88" s="11"/>
      <c r="J88" s="76">
        <f t="shared" si="9"/>
        <v>26</v>
      </c>
      <c r="K88" s="97">
        <v>0</v>
      </c>
      <c r="L88" s="76">
        <f t="shared" ref="L88:L97" si="10">J88+K88</f>
        <v>26</v>
      </c>
      <c r="M88" s="86"/>
      <c r="N88" s="99">
        <v>285</v>
      </c>
      <c r="O88" s="50">
        <f t="shared" si="6"/>
        <v>7410</v>
      </c>
      <c r="P88" s="50">
        <f t="shared" si="7"/>
        <v>7410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>
        <v>350</v>
      </c>
      <c r="I89" s="11"/>
      <c r="J89" s="76">
        <f t="shared" si="9"/>
        <v>1763</v>
      </c>
      <c r="K89" s="97">
        <v>0</v>
      </c>
      <c r="L89" s="76">
        <f t="shared" si="10"/>
        <v>1763</v>
      </c>
      <c r="M89" s="86"/>
      <c r="N89" s="99">
        <v>205</v>
      </c>
      <c r="O89" s="50">
        <f t="shared" si="6"/>
        <v>361415</v>
      </c>
      <c r="P89" s="50">
        <f t="shared" si="7"/>
        <v>361415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419</v>
      </c>
      <c r="E92" s="88"/>
      <c r="F92" s="11"/>
      <c r="G92" s="16">
        <f t="shared" si="8"/>
        <v>419</v>
      </c>
      <c r="H92" s="88">
        <v>34</v>
      </c>
      <c r="I92" s="11"/>
      <c r="J92" s="83">
        <f t="shared" si="9"/>
        <v>385</v>
      </c>
      <c r="K92" s="97">
        <v>0</v>
      </c>
      <c r="L92" s="76">
        <f t="shared" si="10"/>
        <v>385</v>
      </c>
      <c r="M92" s="86"/>
      <c r="N92" s="99">
        <v>113</v>
      </c>
      <c r="O92" s="50">
        <f t="shared" si="6"/>
        <v>43505</v>
      </c>
      <c r="P92" s="50">
        <f t="shared" si="7"/>
        <v>43505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240</v>
      </c>
      <c r="E94" s="88"/>
      <c r="F94" s="11"/>
      <c r="G94" s="16">
        <f t="shared" si="8"/>
        <v>240</v>
      </c>
      <c r="H94" s="88"/>
      <c r="I94" s="11"/>
      <c r="J94" s="83">
        <f t="shared" si="9"/>
        <v>240</v>
      </c>
      <c r="K94" s="97">
        <v>-50</v>
      </c>
      <c r="L94" s="76">
        <f t="shared" si="10"/>
        <v>190</v>
      </c>
      <c r="M94" s="86"/>
      <c r="N94" s="99">
        <v>950</v>
      </c>
      <c r="O94" s="50">
        <f t="shared" si="6"/>
        <v>180500</v>
      </c>
      <c r="P94" s="50">
        <f t="shared" si="7"/>
        <v>228000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1448432.2549999999</v>
      </c>
      <c r="E98" s="27">
        <f t="shared" ref="E98:L98" si="11">SUM(E6:E97)</f>
        <v>2000</v>
      </c>
      <c r="F98" s="27">
        <f t="shared" si="11"/>
        <v>0</v>
      </c>
      <c r="G98" s="27">
        <f t="shared" si="11"/>
        <v>1450432.2549999999</v>
      </c>
      <c r="H98" s="27">
        <f t="shared" si="11"/>
        <v>52051</v>
      </c>
      <c r="I98" s="27">
        <f t="shared" si="11"/>
        <v>0</v>
      </c>
      <c r="J98" s="27">
        <f t="shared" si="11"/>
        <v>1398381.2549999999</v>
      </c>
      <c r="K98" s="27">
        <f t="shared" si="11"/>
        <v>-575681</v>
      </c>
      <c r="L98" s="27">
        <f t="shared" si="11"/>
        <v>822700.25499999989</v>
      </c>
      <c r="M98" s="27">
        <f>SUM(M6:M96)</f>
        <v>0</v>
      </c>
      <c r="N98" s="51"/>
      <c r="O98" s="51">
        <f t="shared" ref="O98" si="12">SUM(O6:O97)</f>
        <v>31379142.940000001</v>
      </c>
      <c r="P98" s="51">
        <f>SUM(P6:P97)</f>
        <v>43547993.640000001</v>
      </c>
      <c r="Q98" s="57">
        <f>O98-P98</f>
        <v>-12168850.699999999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8" t="s">
        <v>115</v>
      </c>
      <c r="M100" s="118"/>
      <c r="O100" s="55" t="s">
        <v>110</v>
      </c>
      <c r="P100" s="54">
        <v>79909923</v>
      </c>
    </row>
    <row r="101" spans="1:22">
      <c r="P101" s="54">
        <f>P100-P98</f>
        <v>36361929.359999999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8" activePane="bottomLeft" state="frozen"/>
      <selection pane="bottomLeft" activeCell="Q102" sqref="Q102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154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11098</v>
      </c>
      <c r="E6" s="15">
        <f>16080+23240</f>
        <v>39320</v>
      </c>
      <c r="F6" s="16">
        <f>146+55</f>
        <v>201</v>
      </c>
      <c r="G6" s="15">
        <f>D6+E6-F6</f>
        <v>50217</v>
      </c>
      <c r="H6" s="15">
        <v>18151</v>
      </c>
      <c r="I6" s="16"/>
      <c r="J6" s="15">
        <f>G6-H6-I6</f>
        <v>32066</v>
      </c>
      <c r="K6" s="15">
        <v>8000</v>
      </c>
      <c r="L6" s="15">
        <f>J6+K6</f>
        <v>40066</v>
      </c>
      <c r="M6" s="30" t="s">
        <v>75</v>
      </c>
      <c r="N6" s="99">
        <v>21.5</v>
      </c>
      <c r="O6" s="50">
        <f>L6*N6</f>
        <v>861419</v>
      </c>
      <c r="P6" s="50">
        <f>J6*N6</f>
        <v>689419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92045</v>
      </c>
      <c r="E7" s="15"/>
      <c r="F7" s="15"/>
      <c r="G7" s="15">
        <f t="shared" ref="G7:G80" si="0">D7+E7-F7</f>
        <v>92045</v>
      </c>
      <c r="H7" s="15">
        <v>8234</v>
      </c>
      <c r="I7" s="15"/>
      <c r="J7" s="15">
        <f t="shared" ref="J7:J70" si="1">G7-H7-I7</f>
        <v>83811</v>
      </c>
      <c r="K7" s="15">
        <v>-5000</v>
      </c>
      <c r="L7" s="15">
        <f t="shared" ref="L7:L87" si="2">J7+K7</f>
        <v>78811</v>
      </c>
      <c r="M7" s="30"/>
      <c r="N7" s="99">
        <v>38</v>
      </c>
      <c r="O7" s="50">
        <f t="shared" ref="O7:O70" si="3">L7*N7</f>
        <v>2994818</v>
      </c>
      <c r="P7" s="50">
        <f t="shared" ref="P7:P70" si="4">J7*N7</f>
        <v>3184818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80762</v>
      </c>
      <c r="E8" s="15"/>
      <c r="F8" s="15"/>
      <c r="G8" s="15">
        <f t="shared" si="0"/>
        <v>80762</v>
      </c>
      <c r="H8" s="15"/>
      <c r="I8" s="15"/>
      <c r="J8" s="15">
        <f t="shared" si="1"/>
        <v>80762</v>
      </c>
      <c r="K8" s="15">
        <v>0</v>
      </c>
      <c r="L8" s="15">
        <f t="shared" si="2"/>
        <v>80762</v>
      </c>
      <c r="M8" s="30"/>
      <c r="N8" s="99">
        <v>12</v>
      </c>
      <c r="O8" s="50">
        <f t="shared" si="3"/>
        <v>969144</v>
      </c>
      <c r="P8" s="50">
        <f t="shared" si="4"/>
        <v>969144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799228</v>
      </c>
      <c r="E10" s="15"/>
      <c r="F10" s="15"/>
      <c r="G10" s="15">
        <f t="shared" si="0"/>
        <v>799228</v>
      </c>
      <c r="H10" s="15">
        <v>1157</v>
      </c>
      <c r="I10" s="15"/>
      <c r="J10" s="15">
        <f t="shared" si="1"/>
        <v>798071</v>
      </c>
      <c r="K10" s="15">
        <v>-607000</v>
      </c>
      <c r="L10" s="15">
        <f t="shared" si="2"/>
        <v>191071</v>
      </c>
      <c r="M10" s="30"/>
      <c r="N10" s="99">
        <v>23.09</v>
      </c>
      <c r="O10" s="50">
        <f t="shared" si="3"/>
        <v>4411829.3899999997</v>
      </c>
      <c r="P10" s="50">
        <f t="shared" si="4"/>
        <v>18427459.390000001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7538</v>
      </c>
      <c r="E11" s="15"/>
      <c r="F11" s="15"/>
      <c r="G11" s="15">
        <f t="shared" si="0"/>
        <v>7538</v>
      </c>
      <c r="H11" s="15">
        <v>1145</v>
      </c>
      <c r="I11" s="15"/>
      <c r="J11" s="15">
        <f t="shared" si="1"/>
        <v>6393</v>
      </c>
      <c r="K11" s="15">
        <v>2000</v>
      </c>
      <c r="L11" s="15">
        <f t="shared" si="2"/>
        <v>8393</v>
      </c>
      <c r="M11" s="30" t="s">
        <v>75</v>
      </c>
      <c r="N11" s="99">
        <v>16.5</v>
      </c>
      <c r="O11" s="50">
        <f t="shared" si="3"/>
        <v>138484.5</v>
      </c>
      <c r="P11" s="50">
        <f t="shared" si="4"/>
        <v>105484.5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5239</v>
      </c>
      <c r="E13" s="15"/>
      <c r="F13" s="15"/>
      <c r="G13" s="15">
        <f t="shared" si="0"/>
        <v>5239</v>
      </c>
      <c r="H13" s="15">
        <v>890</v>
      </c>
      <c r="I13" s="15"/>
      <c r="J13" s="15">
        <f t="shared" si="1"/>
        <v>4349</v>
      </c>
      <c r="K13" s="15">
        <v>5000</v>
      </c>
      <c r="L13" s="15">
        <f t="shared" si="2"/>
        <v>9349</v>
      </c>
      <c r="M13" s="30" t="s">
        <v>75</v>
      </c>
      <c r="N13" s="99">
        <v>27.5</v>
      </c>
      <c r="O13" s="50">
        <f t="shared" si="3"/>
        <v>257097.5</v>
      </c>
      <c r="P13" s="50">
        <f t="shared" si="4"/>
        <v>119597.5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11186</v>
      </c>
      <c r="E14" s="15"/>
      <c r="F14" s="15"/>
      <c r="G14" s="15">
        <f t="shared" si="0"/>
        <v>11186</v>
      </c>
      <c r="H14" s="15">
        <v>150</v>
      </c>
      <c r="I14" s="16"/>
      <c r="J14" s="15">
        <f t="shared" si="1"/>
        <v>11036</v>
      </c>
      <c r="K14" s="15">
        <v>-1000</v>
      </c>
      <c r="L14" s="15">
        <f t="shared" si="2"/>
        <v>10036</v>
      </c>
      <c r="M14" s="30"/>
      <c r="N14" s="99">
        <v>59</v>
      </c>
      <c r="O14" s="50">
        <f t="shared" si="3"/>
        <v>592124</v>
      </c>
      <c r="P14" s="50">
        <f t="shared" si="4"/>
        <v>651124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18688</v>
      </c>
      <c r="E16" s="29"/>
      <c r="F16" s="15"/>
      <c r="G16" s="15">
        <f t="shared" si="0"/>
        <v>18688</v>
      </c>
      <c r="H16" s="15">
        <v>750</v>
      </c>
      <c r="I16" s="16"/>
      <c r="J16" s="15">
        <f t="shared" si="1"/>
        <v>17938</v>
      </c>
      <c r="K16" s="15">
        <v>0</v>
      </c>
      <c r="L16" s="15">
        <f>J16+K16</f>
        <v>17938</v>
      </c>
      <c r="M16" s="30"/>
      <c r="N16" s="99">
        <v>43.25</v>
      </c>
      <c r="O16" s="50">
        <f t="shared" si="3"/>
        <v>775818.5</v>
      </c>
      <c r="P16" s="50">
        <f t="shared" si="4"/>
        <v>775818.5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>
        <v>14130</v>
      </c>
      <c r="F17" s="15"/>
      <c r="G17" s="15">
        <f t="shared" si="0"/>
        <v>14211.439999999999</v>
      </c>
      <c r="H17" s="15"/>
      <c r="I17" s="16"/>
      <c r="J17" s="15">
        <f t="shared" si="1"/>
        <v>14211.439999999999</v>
      </c>
      <c r="K17" s="15">
        <v>0</v>
      </c>
      <c r="L17" s="15">
        <f t="shared" si="2"/>
        <v>14211.439999999999</v>
      </c>
      <c r="M17" s="31"/>
      <c r="N17" s="99">
        <v>53</v>
      </c>
      <c r="O17" s="50">
        <f t="shared" si="3"/>
        <v>753206.32</v>
      </c>
      <c r="P17" s="50">
        <f t="shared" si="4"/>
        <v>753206.32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5595</v>
      </c>
      <c r="E19" s="15"/>
      <c r="F19" s="15"/>
      <c r="G19" s="15">
        <f t="shared" si="0"/>
        <v>5595</v>
      </c>
      <c r="H19" s="15">
        <v>75</v>
      </c>
      <c r="I19" s="16"/>
      <c r="J19" s="15">
        <f t="shared" si="1"/>
        <v>5520</v>
      </c>
      <c r="K19" s="15">
        <v>1000</v>
      </c>
      <c r="L19" s="15">
        <f t="shared" si="2"/>
        <v>6520</v>
      </c>
      <c r="M19" s="30"/>
      <c r="N19" s="99">
        <v>22.8</v>
      </c>
      <c r="O19" s="50">
        <f t="shared" si="3"/>
        <v>148656</v>
      </c>
      <c r="P19" s="50">
        <f t="shared" si="4"/>
        <v>125856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5660</v>
      </c>
      <c r="E20" s="15"/>
      <c r="F20" s="15"/>
      <c r="G20" s="15">
        <f t="shared" si="0"/>
        <v>5660</v>
      </c>
      <c r="H20" s="15">
        <v>450</v>
      </c>
      <c r="I20" s="16"/>
      <c r="J20" s="15">
        <f t="shared" si="1"/>
        <v>5210</v>
      </c>
      <c r="K20" s="15">
        <v>0</v>
      </c>
      <c r="L20" s="15">
        <f t="shared" si="2"/>
        <v>5210</v>
      </c>
      <c r="M20" s="30" t="s">
        <v>75</v>
      </c>
      <c r="N20" s="99">
        <v>20</v>
      </c>
      <c r="O20" s="50">
        <f t="shared" si="3"/>
        <v>104200</v>
      </c>
      <c r="P20" s="50">
        <f t="shared" si="4"/>
        <v>104200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1956</v>
      </c>
      <c r="E21" s="15"/>
      <c r="F21" s="15"/>
      <c r="G21" s="15">
        <f t="shared" si="0"/>
        <v>1956</v>
      </c>
      <c r="H21" s="15">
        <v>337</v>
      </c>
      <c r="I21" s="16"/>
      <c r="J21" s="15">
        <f t="shared" si="1"/>
        <v>1619</v>
      </c>
      <c r="K21" s="15">
        <v>0</v>
      </c>
      <c r="L21" s="15">
        <f t="shared" si="2"/>
        <v>1619</v>
      </c>
      <c r="M21" s="30"/>
      <c r="N21" s="99">
        <v>8.5</v>
      </c>
      <c r="O21" s="50">
        <f t="shared" si="3"/>
        <v>13761.5</v>
      </c>
      <c r="P21" s="50">
        <f t="shared" si="4"/>
        <v>13761.5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228501</v>
      </c>
      <c r="E22" s="15"/>
      <c r="F22" s="15"/>
      <c r="G22" s="15">
        <f t="shared" si="0"/>
        <v>228501</v>
      </c>
      <c r="H22" s="15">
        <v>1305</v>
      </c>
      <c r="I22" s="16"/>
      <c r="J22" s="15">
        <f t="shared" si="1"/>
        <v>227196</v>
      </c>
      <c r="K22" s="15">
        <v>8000</v>
      </c>
      <c r="L22" s="15">
        <f t="shared" si="2"/>
        <v>235196</v>
      </c>
      <c r="M22" s="30"/>
      <c r="N22" s="99">
        <v>8.5</v>
      </c>
      <c r="O22" s="50">
        <f t="shared" si="3"/>
        <v>1999166</v>
      </c>
      <c r="P22" s="50">
        <f t="shared" si="4"/>
        <v>1931166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5456</v>
      </c>
      <c r="E23" s="15"/>
      <c r="F23" s="15"/>
      <c r="G23" s="15">
        <f t="shared" si="0"/>
        <v>5456</v>
      </c>
      <c r="H23" s="15">
        <v>713</v>
      </c>
      <c r="I23" s="16"/>
      <c r="J23" s="15">
        <f t="shared" si="1"/>
        <v>4743</v>
      </c>
      <c r="K23" s="15">
        <v>1500</v>
      </c>
      <c r="L23" s="15">
        <f t="shared" si="2"/>
        <v>6243</v>
      </c>
      <c r="M23" s="30" t="s">
        <v>75</v>
      </c>
      <c r="N23" s="99">
        <v>82</v>
      </c>
      <c r="O23" s="50">
        <f t="shared" si="3"/>
        <v>511926</v>
      </c>
      <c r="P23" s="50">
        <f t="shared" si="4"/>
        <v>388926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9543</v>
      </c>
      <c r="E24" s="29"/>
      <c r="F24" s="29"/>
      <c r="G24" s="15">
        <f t="shared" si="0"/>
        <v>9543</v>
      </c>
      <c r="H24" s="15"/>
      <c r="I24" s="16"/>
      <c r="J24" s="15">
        <f t="shared" si="1"/>
        <v>9543</v>
      </c>
      <c r="K24" s="15">
        <v>2713</v>
      </c>
      <c r="L24" s="15">
        <f t="shared" si="2"/>
        <v>12256</v>
      </c>
      <c r="M24" s="30"/>
      <c r="N24" s="99">
        <v>22.1</v>
      </c>
      <c r="O24" s="50">
        <f t="shared" si="3"/>
        <v>270857.60000000003</v>
      </c>
      <c r="P24" s="50">
        <f t="shared" si="4"/>
        <v>210900.30000000002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155</v>
      </c>
      <c r="D26" s="15">
        <v>-46</v>
      </c>
      <c r="E26" s="15">
        <v>2500</v>
      </c>
      <c r="F26" s="15"/>
      <c r="G26" s="15">
        <f t="shared" si="0"/>
        <v>2454</v>
      </c>
      <c r="H26" s="15">
        <v>225</v>
      </c>
      <c r="I26" s="16"/>
      <c r="J26" s="76">
        <f t="shared" si="1"/>
        <v>2229</v>
      </c>
      <c r="K26" s="76">
        <v>46</v>
      </c>
      <c r="L26" s="76">
        <f t="shared" si="2"/>
        <v>2275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9990</v>
      </c>
      <c r="E31" s="15"/>
      <c r="F31" s="15"/>
      <c r="G31" s="15">
        <f t="shared" si="0"/>
        <v>9990</v>
      </c>
      <c r="H31" s="15"/>
      <c r="I31" s="16"/>
      <c r="J31" s="76">
        <f t="shared" si="1"/>
        <v>9990</v>
      </c>
      <c r="K31" s="76">
        <v>0</v>
      </c>
      <c r="L31" s="76">
        <f t="shared" si="2"/>
        <v>9990</v>
      </c>
      <c r="M31" s="78"/>
      <c r="N31" s="99">
        <v>60</v>
      </c>
      <c r="O31" s="50">
        <f t="shared" si="3"/>
        <v>599400</v>
      </c>
      <c r="P31" s="50">
        <f t="shared" si="4"/>
        <v>599400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12498</v>
      </c>
      <c r="E32" s="15"/>
      <c r="F32" s="15"/>
      <c r="G32" s="15">
        <f t="shared" si="0"/>
        <v>12498</v>
      </c>
      <c r="H32" s="15">
        <v>3462</v>
      </c>
      <c r="I32" s="16"/>
      <c r="J32" s="76">
        <f t="shared" si="1"/>
        <v>9036</v>
      </c>
      <c r="K32" s="76"/>
      <c r="L32" s="76">
        <f t="shared" si="2"/>
        <v>9036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13667</v>
      </c>
      <c r="E33" s="15"/>
      <c r="F33" s="15"/>
      <c r="G33" s="15">
        <f t="shared" si="0"/>
        <v>13667</v>
      </c>
      <c r="H33" s="15">
        <v>107</v>
      </c>
      <c r="I33" s="16"/>
      <c r="J33" s="76">
        <f t="shared" si="1"/>
        <v>13560</v>
      </c>
      <c r="K33" s="76">
        <v>206</v>
      </c>
      <c r="L33" s="76">
        <f t="shared" si="2"/>
        <v>13766</v>
      </c>
      <c r="M33" s="30"/>
      <c r="N33" s="99">
        <v>12.49</v>
      </c>
      <c r="O33" s="50">
        <f t="shared" si="3"/>
        <v>171937.34</v>
      </c>
      <c r="P33" s="50">
        <f t="shared" si="4"/>
        <v>169364.4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171</v>
      </c>
      <c r="E34" s="15"/>
      <c r="F34" s="15"/>
      <c r="G34" s="15">
        <f t="shared" si="0"/>
        <v>171</v>
      </c>
      <c r="H34" s="15">
        <v>8</v>
      </c>
      <c r="I34" s="16"/>
      <c r="J34" s="76">
        <f t="shared" si="1"/>
        <v>163</v>
      </c>
      <c r="K34" s="76">
        <v>-50</v>
      </c>
      <c r="L34" s="76">
        <f t="shared" si="2"/>
        <v>113</v>
      </c>
      <c r="M34" s="77"/>
      <c r="N34" s="99">
        <v>435</v>
      </c>
      <c r="O34" s="50">
        <f t="shared" si="3"/>
        <v>49155</v>
      </c>
      <c r="P34" s="50">
        <f t="shared" si="4"/>
        <v>70905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117</v>
      </c>
      <c r="E35" s="15"/>
      <c r="F35" s="15"/>
      <c r="G35" s="15">
        <f t="shared" si="0"/>
        <v>117</v>
      </c>
      <c r="H35" s="15">
        <v>8</v>
      </c>
      <c r="I35" s="16"/>
      <c r="J35" s="76">
        <f>G35-H35-I35</f>
        <v>109</v>
      </c>
      <c r="K35" s="76">
        <v>-50</v>
      </c>
      <c r="L35" s="76">
        <f t="shared" si="2"/>
        <v>59</v>
      </c>
      <c r="M35" s="84"/>
      <c r="N35" s="99">
        <v>730</v>
      </c>
      <c r="O35" s="50">
        <f t="shared" si="3"/>
        <v>43070</v>
      </c>
      <c r="P35" s="50">
        <f t="shared" si="4"/>
        <v>79570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331</v>
      </c>
      <c r="E36" s="15"/>
      <c r="F36" s="15"/>
      <c r="G36" s="15">
        <f t="shared" si="0"/>
        <v>331</v>
      </c>
      <c r="H36" s="16">
        <v>2</v>
      </c>
      <c r="I36" s="16"/>
      <c r="J36" s="76">
        <f t="shared" si="1"/>
        <v>329</v>
      </c>
      <c r="K36" s="76">
        <v>-125</v>
      </c>
      <c r="L36" s="76">
        <f t="shared" si="2"/>
        <v>204</v>
      </c>
      <c r="M36" s="84"/>
      <c r="N36" s="99">
        <v>155</v>
      </c>
      <c r="O36" s="50">
        <f t="shared" si="3"/>
        <v>31620</v>
      </c>
      <c r="P36" s="50">
        <f t="shared" si="4"/>
        <v>50995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1181</v>
      </c>
      <c r="E37" s="15"/>
      <c r="F37" s="15"/>
      <c r="G37" s="15">
        <f t="shared" si="0"/>
        <v>1181</v>
      </c>
      <c r="H37" s="16">
        <v>45</v>
      </c>
      <c r="I37" s="16"/>
      <c r="J37" s="76">
        <f t="shared" si="1"/>
        <v>1136</v>
      </c>
      <c r="K37" s="76">
        <v>0</v>
      </c>
      <c r="L37" s="76">
        <f t="shared" si="2"/>
        <v>1136</v>
      </c>
      <c r="M37" s="84"/>
      <c r="N37" s="99">
        <v>125</v>
      </c>
      <c r="O37" s="50">
        <f t="shared" si="3"/>
        <v>142000</v>
      </c>
      <c r="P37" s="50">
        <f t="shared" si="4"/>
        <v>142000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289</v>
      </c>
      <c r="E39" s="15"/>
      <c r="F39" s="15"/>
      <c r="G39" s="15">
        <f t="shared" si="0"/>
        <v>289</v>
      </c>
      <c r="H39" s="16">
        <v>9</v>
      </c>
      <c r="I39" s="16"/>
      <c r="J39" s="76">
        <f t="shared" si="1"/>
        <v>280</v>
      </c>
      <c r="K39" s="76">
        <v>-70</v>
      </c>
      <c r="L39" s="76">
        <f t="shared" si="2"/>
        <v>210</v>
      </c>
      <c r="M39" s="84"/>
      <c r="N39" s="99">
        <v>975</v>
      </c>
      <c r="O39" s="50">
        <f t="shared" si="3"/>
        <v>204750</v>
      </c>
      <c r="P39" s="50">
        <f t="shared" si="4"/>
        <v>273000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683</v>
      </c>
      <c r="E41" s="15"/>
      <c r="F41" s="15"/>
      <c r="G41" s="15">
        <f t="shared" si="0"/>
        <v>683</v>
      </c>
      <c r="H41" s="16">
        <v>14</v>
      </c>
      <c r="I41" s="16"/>
      <c r="J41" s="76">
        <f t="shared" si="1"/>
        <v>669</v>
      </c>
      <c r="K41" s="76">
        <v>500</v>
      </c>
      <c r="L41" s="76">
        <f t="shared" si="2"/>
        <v>1169</v>
      </c>
      <c r="M41" s="84"/>
      <c r="N41" s="99">
        <v>125</v>
      </c>
      <c r="O41" s="50">
        <f t="shared" si="3"/>
        <v>146125</v>
      </c>
      <c r="P41" s="50">
        <f t="shared" si="4"/>
        <v>83625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10552</v>
      </c>
      <c r="E44" s="15"/>
      <c r="F44" s="15"/>
      <c r="G44" s="15">
        <f t="shared" si="0"/>
        <v>10552</v>
      </c>
      <c r="H44" s="16"/>
      <c r="I44" s="16"/>
      <c r="J44" s="76">
        <f t="shared" si="1"/>
        <v>10552</v>
      </c>
      <c r="K44" s="76">
        <v>2200</v>
      </c>
      <c r="L44" s="76">
        <f t="shared" si="2"/>
        <v>12752</v>
      </c>
      <c r="M44" s="84"/>
      <c r="N44" s="99">
        <v>80</v>
      </c>
      <c r="O44" s="50">
        <f t="shared" si="3"/>
        <v>1020160</v>
      </c>
      <c r="P44" s="50">
        <f t="shared" si="4"/>
        <v>844160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15905</v>
      </c>
      <c r="E46" s="15"/>
      <c r="F46" s="15"/>
      <c r="G46" s="15">
        <f t="shared" si="0"/>
        <v>15905</v>
      </c>
      <c r="H46" s="16">
        <v>83</v>
      </c>
      <c r="I46" s="16"/>
      <c r="J46" s="76">
        <f t="shared" si="1"/>
        <v>15822</v>
      </c>
      <c r="K46" s="76">
        <v>-180</v>
      </c>
      <c r="L46" s="76">
        <f t="shared" si="2"/>
        <v>15642</v>
      </c>
      <c r="M46" s="84"/>
      <c r="N46" s="99">
        <v>275</v>
      </c>
      <c r="O46" s="50">
        <f t="shared" si="3"/>
        <v>4301550</v>
      </c>
      <c r="P46" s="50">
        <f t="shared" si="4"/>
        <v>4351050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958</v>
      </c>
      <c r="E47" s="15"/>
      <c r="F47" s="15"/>
      <c r="G47" s="15">
        <f t="shared" si="0"/>
        <v>958</v>
      </c>
      <c r="H47" s="15">
        <v>4</v>
      </c>
      <c r="I47" s="16"/>
      <c r="J47" s="76">
        <f t="shared" si="1"/>
        <v>954</v>
      </c>
      <c r="K47" s="76">
        <v>0</v>
      </c>
      <c r="L47" s="76">
        <f t="shared" si="2"/>
        <v>954</v>
      </c>
      <c r="M47" s="84"/>
      <c r="N47" s="99">
        <v>250</v>
      </c>
      <c r="O47" s="50">
        <f t="shared" si="3"/>
        <v>238500</v>
      </c>
      <c r="P47" s="50">
        <f t="shared" si="4"/>
        <v>238500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353</v>
      </c>
      <c r="E49" s="15"/>
      <c r="F49" s="15"/>
      <c r="G49" s="15">
        <f t="shared" si="0"/>
        <v>353</v>
      </c>
      <c r="H49" s="15">
        <v>18</v>
      </c>
      <c r="I49" s="16"/>
      <c r="J49" s="76">
        <f t="shared" si="1"/>
        <v>335</v>
      </c>
      <c r="K49" s="76">
        <v>45</v>
      </c>
      <c r="L49" s="76">
        <f t="shared" si="2"/>
        <v>380</v>
      </c>
      <c r="M49" s="84"/>
      <c r="N49" s="99">
        <v>800</v>
      </c>
      <c r="O49" s="50">
        <f t="shared" si="3"/>
        <v>304000</v>
      </c>
      <c r="P49" s="50">
        <f t="shared" si="4"/>
        <v>268000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78</v>
      </c>
      <c r="E53" s="15"/>
      <c r="F53" s="15"/>
      <c r="G53" s="15">
        <f t="shared" si="0"/>
        <v>78</v>
      </c>
      <c r="H53" s="15">
        <v>2</v>
      </c>
      <c r="I53" s="20"/>
      <c r="J53" s="76">
        <f t="shared" si="1"/>
        <v>76</v>
      </c>
      <c r="K53" s="76">
        <v>0</v>
      </c>
      <c r="L53" s="76">
        <f t="shared" si="2"/>
        <v>76</v>
      </c>
      <c r="M53" s="84"/>
      <c r="N53" s="99">
        <v>1600</v>
      </c>
      <c r="O53" s="50">
        <f t="shared" si="3"/>
        <v>121600</v>
      </c>
      <c r="P53" s="50">
        <f t="shared" si="4"/>
        <v>121600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727</v>
      </c>
      <c r="E54" s="15"/>
      <c r="F54" s="15"/>
      <c r="G54" s="15">
        <f t="shared" si="0"/>
        <v>727</v>
      </c>
      <c r="H54" s="15"/>
      <c r="I54" s="16"/>
      <c r="J54" s="76">
        <f t="shared" si="1"/>
        <v>727</v>
      </c>
      <c r="K54" s="76">
        <v>-350</v>
      </c>
      <c r="L54" s="76">
        <f t="shared" si="2"/>
        <v>377</v>
      </c>
      <c r="M54" s="84"/>
      <c r="N54" s="99">
        <v>375</v>
      </c>
      <c r="O54" s="50">
        <f t="shared" si="3"/>
        <v>141375</v>
      </c>
      <c r="P54" s="50">
        <f t="shared" si="4"/>
        <v>272625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123</v>
      </c>
      <c r="E55" s="15"/>
      <c r="F55" s="15"/>
      <c r="G55" s="15">
        <f t="shared" si="0"/>
        <v>123</v>
      </c>
      <c r="H55" s="15"/>
      <c r="I55" s="21"/>
      <c r="J55" s="76">
        <f t="shared" si="1"/>
        <v>123</v>
      </c>
      <c r="K55" s="76">
        <v>9</v>
      </c>
      <c r="L55" s="76">
        <f t="shared" si="2"/>
        <v>132</v>
      </c>
      <c r="M55" s="30"/>
      <c r="N55" s="99">
        <v>425</v>
      </c>
      <c r="O55" s="50">
        <f t="shared" si="3"/>
        <v>56100</v>
      </c>
      <c r="P55" s="50">
        <f t="shared" si="4"/>
        <v>52275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466</v>
      </c>
      <c r="E56" s="15"/>
      <c r="F56" s="15"/>
      <c r="G56" s="15">
        <f t="shared" si="0"/>
        <v>466</v>
      </c>
      <c r="H56" s="15">
        <v>16</v>
      </c>
      <c r="I56" s="22"/>
      <c r="J56" s="76">
        <f t="shared" si="1"/>
        <v>450</v>
      </c>
      <c r="K56" s="76">
        <v>-200</v>
      </c>
      <c r="L56" s="76">
        <f t="shared" si="2"/>
        <v>250</v>
      </c>
      <c r="M56" s="84"/>
      <c r="N56" s="99">
        <v>390</v>
      </c>
      <c r="O56" s="50">
        <f t="shared" si="3"/>
        <v>97500</v>
      </c>
      <c r="P56" s="50">
        <f t="shared" si="4"/>
        <v>175500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-49</v>
      </c>
      <c r="E58" s="15"/>
      <c r="F58" s="15"/>
      <c r="G58" s="15">
        <f t="shared" si="0"/>
        <v>-49</v>
      </c>
      <c r="H58" s="15">
        <v>18</v>
      </c>
      <c r="I58" s="16"/>
      <c r="J58" s="76">
        <f t="shared" si="1"/>
        <v>-67</v>
      </c>
      <c r="K58" s="76">
        <v>50</v>
      </c>
      <c r="L58" s="76">
        <f t="shared" si="2"/>
        <v>-17</v>
      </c>
      <c r="M58" s="30"/>
      <c r="N58" s="99">
        <v>132</v>
      </c>
      <c r="O58" s="50">
        <f t="shared" si="3"/>
        <v>-2244</v>
      </c>
      <c r="P58" s="50">
        <f t="shared" si="4"/>
        <v>-8844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371</v>
      </c>
      <c r="E59" s="15"/>
      <c r="F59" s="15"/>
      <c r="G59" s="15">
        <f t="shared" si="0"/>
        <v>371</v>
      </c>
      <c r="H59" s="15"/>
      <c r="I59" s="16"/>
      <c r="J59" s="76">
        <f t="shared" si="1"/>
        <v>371</v>
      </c>
      <c r="K59" s="76">
        <v>0</v>
      </c>
      <c r="L59" s="76">
        <f t="shared" si="2"/>
        <v>371</v>
      </c>
      <c r="M59" s="84"/>
      <c r="N59" s="99">
        <v>570</v>
      </c>
      <c r="O59" s="50">
        <f t="shared" si="3"/>
        <v>211470</v>
      </c>
      <c r="P59" s="50">
        <f t="shared" si="4"/>
        <v>211470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5564</v>
      </c>
      <c r="E62" s="15"/>
      <c r="F62" s="15"/>
      <c r="G62" s="15">
        <f t="shared" si="0"/>
        <v>5564</v>
      </c>
      <c r="H62" s="15">
        <v>67</v>
      </c>
      <c r="I62" s="16"/>
      <c r="J62" s="76">
        <f t="shared" si="1"/>
        <v>5497</v>
      </c>
      <c r="K62" s="76">
        <v>187</v>
      </c>
      <c r="L62" s="76">
        <f t="shared" si="2"/>
        <v>5684</v>
      </c>
      <c r="M62" s="30"/>
      <c r="N62" s="99">
        <v>87.38</v>
      </c>
      <c r="O62" s="50">
        <f t="shared" si="3"/>
        <v>496667.92</v>
      </c>
      <c r="P62" s="50">
        <f t="shared" si="4"/>
        <v>480327.86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5</v>
      </c>
      <c r="E63" s="15"/>
      <c r="F63" s="15"/>
      <c r="G63" s="15">
        <f t="shared" si="0"/>
        <v>5</v>
      </c>
      <c r="H63" s="15"/>
      <c r="I63" s="16"/>
      <c r="J63" s="76">
        <f t="shared" si="1"/>
        <v>5</v>
      </c>
      <c r="K63" s="76">
        <v>300</v>
      </c>
      <c r="L63" s="76">
        <f t="shared" si="2"/>
        <v>305</v>
      </c>
      <c r="M63" s="84"/>
      <c r="N63" s="99">
        <v>290</v>
      </c>
      <c r="O63" s="50">
        <f t="shared" si="3"/>
        <v>88450</v>
      </c>
      <c r="P63" s="50">
        <f t="shared" si="4"/>
        <v>1450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15</v>
      </c>
      <c r="E64" s="23"/>
      <c r="F64" s="23"/>
      <c r="G64" s="23">
        <f t="shared" si="0"/>
        <v>15</v>
      </c>
      <c r="H64" s="23">
        <v>9</v>
      </c>
      <c r="I64" s="23"/>
      <c r="J64" s="76">
        <f t="shared" si="1"/>
        <v>6</v>
      </c>
      <c r="K64" s="79">
        <v>100</v>
      </c>
      <c r="L64" s="76">
        <f t="shared" si="2"/>
        <v>106</v>
      </c>
      <c r="M64" s="30"/>
      <c r="N64" s="99">
        <v>70</v>
      </c>
      <c r="O64" s="50">
        <f t="shared" si="3"/>
        <v>7420</v>
      </c>
      <c r="P64" s="50">
        <f t="shared" si="4"/>
        <v>420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-15</v>
      </c>
      <c r="E65" s="24"/>
      <c r="F65" s="24"/>
      <c r="G65" s="16">
        <f t="shared" si="0"/>
        <v>-15</v>
      </c>
      <c r="H65" s="24">
        <v>18</v>
      </c>
      <c r="I65" s="24"/>
      <c r="J65" s="76">
        <f t="shared" si="1"/>
        <v>-33</v>
      </c>
      <c r="K65" s="80">
        <v>15</v>
      </c>
      <c r="L65" s="76">
        <f t="shared" si="2"/>
        <v>-18</v>
      </c>
      <c r="M65" s="86"/>
      <c r="N65" s="99">
        <v>240</v>
      </c>
      <c r="O65" s="50">
        <f t="shared" si="3"/>
        <v>-4320</v>
      </c>
      <c r="P65" s="50">
        <f t="shared" si="4"/>
        <v>-7920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325</v>
      </c>
      <c r="E66" s="24"/>
      <c r="F66" s="24"/>
      <c r="G66" s="16">
        <f t="shared" si="0"/>
        <v>325</v>
      </c>
      <c r="H66" s="24">
        <v>11</v>
      </c>
      <c r="I66" s="24"/>
      <c r="J66" s="76">
        <f t="shared" si="1"/>
        <v>314</v>
      </c>
      <c r="K66" s="81">
        <v>0</v>
      </c>
      <c r="L66" s="81">
        <f t="shared" si="2"/>
        <v>314</v>
      </c>
      <c r="M66" s="86"/>
      <c r="N66" s="99">
        <v>1100</v>
      </c>
      <c r="O66" s="50">
        <f t="shared" si="3"/>
        <v>345400</v>
      </c>
      <c r="P66" s="50">
        <f t="shared" si="4"/>
        <v>345400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-2681</v>
      </c>
      <c r="E67" s="24"/>
      <c r="F67" s="24"/>
      <c r="G67" s="16">
        <f t="shared" si="0"/>
        <v>-2681</v>
      </c>
      <c r="H67" s="24">
        <v>148</v>
      </c>
      <c r="I67" s="24"/>
      <c r="J67" s="76">
        <f t="shared" si="1"/>
        <v>-2829</v>
      </c>
      <c r="K67" s="80">
        <v>2800</v>
      </c>
      <c r="L67" s="76">
        <f t="shared" si="2"/>
        <v>-29</v>
      </c>
      <c r="M67" s="84"/>
      <c r="N67" s="99">
        <v>53</v>
      </c>
      <c r="O67" s="50">
        <f t="shared" si="3"/>
        <v>-1537</v>
      </c>
      <c r="P67" s="50">
        <f t="shared" si="4"/>
        <v>-149937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433</v>
      </c>
      <c r="E70" s="24"/>
      <c r="F70" s="24"/>
      <c r="G70" s="16">
        <f t="shared" si="0"/>
        <v>433</v>
      </c>
      <c r="H70" s="24">
        <v>8</v>
      </c>
      <c r="I70" s="24"/>
      <c r="J70" s="76">
        <f t="shared" si="1"/>
        <v>425</v>
      </c>
      <c r="K70" s="80">
        <v>-153</v>
      </c>
      <c r="L70" s="76">
        <f t="shared" si="2"/>
        <v>272</v>
      </c>
      <c r="M70" s="86"/>
      <c r="N70" s="99">
        <v>260</v>
      </c>
      <c r="O70" s="50">
        <f t="shared" si="3"/>
        <v>70720</v>
      </c>
      <c r="P70" s="50">
        <f t="shared" si="4"/>
        <v>110500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3250</v>
      </c>
      <c r="E72" s="24"/>
      <c r="F72" s="24"/>
      <c r="G72" s="16">
        <f t="shared" si="0"/>
        <v>3250</v>
      </c>
      <c r="H72" s="24">
        <v>34</v>
      </c>
      <c r="I72" s="24"/>
      <c r="J72" s="76">
        <f t="shared" si="5"/>
        <v>3216</v>
      </c>
      <c r="K72" s="80">
        <v>-200</v>
      </c>
      <c r="L72" s="76">
        <f t="shared" si="2"/>
        <v>3016</v>
      </c>
      <c r="M72" s="30"/>
      <c r="N72" s="99">
        <v>39</v>
      </c>
      <c r="O72" s="50">
        <f t="shared" si="6"/>
        <v>117624</v>
      </c>
      <c r="P72" s="50">
        <f t="shared" si="7"/>
        <v>125424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17939</v>
      </c>
      <c r="E73" s="24"/>
      <c r="F73" s="24"/>
      <c r="G73" s="16">
        <f t="shared" si="0"/>
        <v>17939</v>
      </c>
      <c r="H73" s="24">
        <v>45</v>
      </c>
      <c r="I73" s="42"/>
      <c r="J73" s="76">
        <f t="shared" si="5"/>
        <v>17894</v>
      </c>
      <c r="K73" s="80">
        <v>0</v>
      </c>
      <c r="L73" s="76">
        <f t="shared" si="2"/>
        <v>17894</v>
      </c>
      <c r="M73" s="84"/>
      <c r="N73" s="99">
        <v>83</v>
      </c>
      <c r="O73" s="50">
        <f t="shared" si="6"/>
        <v>1485202</v>
      </c>
      <c r="P73" s="50">
        <f t="shared" si="7"/>
        <v>1485202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2759</v>
      </c>
      <c r="E75" s="24"/>
      <c r="F75" s="24"/>
      <c r="G75" s="16">
        <f t="shared" si="0"/>
        <v>2759</v>
      </c>
      <c r="H75" s="24">
        <v>98</v>
      </c>
      <c r="I75" s="24"/>
      <c r="J75" s="76">
        <f t="shared" si="5"/>
        <v>2661</v>
      </c>
      <c r="K75" s="80">
        <v>273</v>
      </c>
      <c r="L75" s="76">
        <f t="shared" si="2"/>
        <v>2934</v>
      </c>
      <c r="M75" s="86"/>
      <c r="N75" s="99">
        <v>16</v>
      </c>
      <c r="O75" s="50">
        <f t="shared" si="6"/>
        <v>46944</v>
      </c>
      <c r="P75" s="50">
        <f t="shared" si="7"/>
        <v>42576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322</v>
      </c>
      <c r="E76" s="24"/>
      <c r="F76" s="24"/>
      <c r="G76" s="16">
        <f t="shared" si="0"/>
        <v>322</v>
      </c>
      <c r="H76" s="24">
        <v>8</v>
      </c>
      <c r="I76" s="24"/>
      <c r="J76" s="76">
        <f t="shared" si="5"/>
        <v>314</v>
      </c>
      <c r="K76" s="80">
        <v>-250</v>
      </c>
      <c r="L76" s="76">
        <f t="shared" si="2"/>
        <v>64</v>
      </c>
      <c r="M76" s="30"/>
      <c r="N76" s="99">
        <v>400</v>
      </c>
      <c r="O76" s="50">
        <f t="shared" si="6"/>
        <v>25600</v>
      </c>
      <c r="P76" s="50">
        <f t="shared" si="7"/>
        <v>125600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316</v>
      </c>
      <c r="E78" s="24"/>
      <c r="F78" s="24"/>
      <c r="G78" s="16">
        <f t="shared" si="0"/>
        <v>316</v>
      </c>
      <c r="H78" s="24">
        <v>4</v>
      </c>
      <c r="I78" s="24"/>
      <c r="J78" s="76">
        <f t="shared" si="5"/>
        <v>312</v>
      </c>
      <c r="K78" s="80">
        <v>100</v>
      </c>
      <c r="L78" s="76">
        <f t="shared" si="2"/>
        <v>412</v>
      </c>
      <c r="M78" s="86"/>
      <c r="N78" s="99">
        <v>900</v>
      </c>
      <c r="O78" s="50">
        <f t="shared" si="6"/>
        <v>370800</v>
      </c>
      <c r="P78" s="50">
        <f t="shared" si="7"/>
        <v>280800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5013</v>
      </c>
      <c r="E83" s="98"/>
      <c r="F83" s="24"/>
      <c r="G83" s="16">
        <f t="shared" si="8"/>
        <v>5013</v>
      </c>
      <c r="H83" s="24"/>
      <c r="I83" s="95"/>
      <c r="J83" s="76">
        <f t="shared" si="5"/>
        <v>5013</v>
      </c>
      <c r="K83" s="81">
        <v>0</v>
      </c>
      <c r="L83" s="76">
        <f t="shared" si="2"/>
        <v>5013</v>
      </c>
      <c r="M83" s="85"/>
      <c r="N83" s="100">
        <v>64</v>
      </c>
      <c r="O83" s="50">
        <f t="shared" si="6"/>
        <v>320832</v>
      </c>
      <c r="P83" s="50">
        <f t="shared" si="7"/>
        <v>320832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13</v>
      </c>
      <c r="E84" s="89"/>
      <c r="F84" s="12"/>
      <c r="G84" s="45">
        <f t="shared" si="8"/>
        <v>13</v>
      </c>
      <c r="H84" s="12"/>
      <c r="I84" s="94"/>
      <c r="J84" s="82">
        <f t="shared" ref="J84:J97" si="9">D84+E84-H84-I84</f>
        <v>13</v>
      </c>
      <c r="K84" s="96">
        <v>0</v>
      </c>
      <c r="L84" s="82">
        <f t="shared" si="2"/>
        <v>13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-19</v>
      </c>
      <c r="E85" s="90"/>
      <c r="F85" s="11"/>
      <c r="G85" s="16">
        <f t="shared" si="8"/>
        <v>-19</v>
      </c>
      <c r="H85" s="88"/>
      <c r="I85" s="11"/>
      <c r="J85" s="76">
        <f t="shared" si="9"/>
        <v>-19</v>
      </c>
      <c r="K85" s="97">
        <v>500</v>
      </c>
      <c r="L85" s="76">
        <f t="shared" si="2"/>
        <v>481</v>
      </c>
      <c r="M85" s="86"/>
      <c r="N85" s="99">
        <v>350</v>
      </c>
      <c r="O85" s="50">
        <f t="shared" si="6"/>
        <v>168350</v>
      </c>
      <c r="P85" s="50">
        <f t="shared" si="7"/>
        <v>-6650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401</v>
      </c>
      <c r="E86" s="90"/>
      <c r="F86" s="11"/>
      <c r="G86" s="16">
        <f t="shared" si="8"/>
        <v>401</v>
      </c>
      <c r="H86" s="88"/>
      <c r="I86" s="11"/>
      <c r="J86" s="76">
        <f t="shared" si="9"/>
        <v>401</v>
      </c>
      <c r="K86" s="97">
        <v>300</v>
      </c>
      <c r="L86" s="76">
        <f t="shared" si="2"/>
        <v>701</v>
      </c>
      <c r="M86" s="84"/>
      <c r="N86" s="99">
        <v>165</v>
      </c>
      <c r="O86" s="50">
        <f t="shared" si="6"/>
        <v>115665</v>
      </c>
      <c r="P86" s="50">
        <f t="shared" si="7"/>
        <v>66165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260</v>
      </c>
      <c r="E87" s="11"/>
      <c r="F87" s="11"/>
      <c r="G87" s="16">
        <f t="shared" si="8"/>
        <v>260</v>
      </c>
      <c r="H87" s="88"/>
      <c r="I87" s="11"/>
      <c r="J87" s="76">
        <f t="shared" si="9"/>
        <v>260</v>
      </c>
      <c r="K87" s="97">
        <v>-1</v>
      </c>
      <c r="L87" s="76">
        <f t="shared" si="2"/>
        <v>259</v>
      </c>
      <c r="M87" s="86"/>
      <c r="N87" s="99">
        <v>630</v>
      </c>
      <c r="O87" s="50">
        <f t="shared" si="6"/>
        <v>163170</v>
      </c>
      <c r="P87" s="50">
        <f t="shared" si="7"/>
        <v>163800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26</v>
      </c>
      <c r="E88" s="11"/>
      <c r="F88" s="11"/>
      <c r="G88" s="16">
        <f t="shared" si="8"/>
        <v>26</v>
      </c>
      <c r="H88" s="88">
        <v>8</v>
      </c>
      <c r="I88" s="11"/>
      <c r="J88" s="76">
        <f t="shared" si="9"/>
        <v>18</v>
      </c>
      <c r="K88" s="97">
        <v>0</v>
      </c>
      <c r="L88" s="76">
        <f t="shared" ref="L88:L97" si="10">J88+K88</f>
        <v>18</v>
      </c>
      <c r="M88" s="86"/>
      <c r="N88" s="99">
        <v>285</v>
      </c>
      <c r="O88" s="50">
        <f t="shared" si="6"/>
        <v>5130</v>
      </c>
      <c r="P88" s="50">
        <f t="shared" si="7"/>
        <v>5130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1763</v>
      </c>
      <c r="E89" s="88"/>
      <c r="F89" s="11"/>
      <c r="G89" s="16">
        <f t="shared" si="8"/>
        <v>1763</v>
      </c>
      <c r="H89" s="88">
        <v>725</v>
      </c>
      <c r="I89" s="11"/>
      <c r="J89" s="76">
        <f t="shared" si="9"/>
        <v>1038</v>
      </c>
      <c r="K89" s="97">
        <v>0</v>
      </c>
      <c r="L89" s="76">
        <f t="shared" si="10"/>
        <v>1038</v>
      </c>
      <c r="M89" s="86"/>
      <c r="N89" s="99">
        <v>205</v>
      </c>
      <c r="O89" s="50">
        <f t="shared" si="6"/>
        <v>212790</v>
      </c>
      <c r="P89" s="50">
        <f t="shared" si="7"/>
        <v>212790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385</v>
      </c>
      <c r="E92" s="88"/>
      <c r="F92" s="11"/>
      <c r="G92" s="16">
        <f t="shared" si="8"/>
        <v>385</v>
      </c>
      <c r="H92" s="88">
        <v>9</v>
      </c>
      <c r="I92" s="11"/>
      <c r="J92" s="83">
        <f t="shared" si="9"/>
        <v>376</v>
      </c>
      <c r="K92" s="97">
        <v>0</v>
      </c>
      <c r="L92" s="76">
        <f t="shared" si="10"/>
        <v>376</v>
      </c>
      <c r="M92" s="86"/>
      <c r="N92" s="99">
        <v>113</v>
      </c>
      <c r="O92" s="50">
        <f t="shared" si="6"/>
        <v>42488</v>
      </c>
      <c r="P92" s="50">
        <f t="shared" si="7"/>
        <v>42488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240</v>
      </c>
      <c r="E94" s="88"/>
      <c r="F94" s="11"/>
      <c r="G94" s="16">
        <f t="shared" si="8"/>
        <v>240</v>
      </c>
      <c r="H94" s="88">
        <v>6</v>
      </c>
      <c r="I94" s="11"/>
      <c r="J94" s="83">
        <f t="shared" si="9"/>
        <v>234</v>
      </c>
      <c r="K94" s="97">
        <v>-50</v>
      </c>
      <c r="L94" s="76">
        <f t="shared" si="10"/>
        <v>184</v>
      </c>
      <c r="M94" s="86"/>
      <c r="N94" s="99">
        <v>950</v>
      </c>
      <c r="O94" s="50">
        <f t="shared" si="6"/>
        <v>174800</v>
      </c>
      <c r="P94" s="50">
        <f t="shared" si="7"/>
        <v>222300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1398381.2549999999</v>
      </c>
      <c r="E98" s="27">
        <f t="shared" ref="E98:L98" si="11">SUM(E6:E97)</f>
        <v>55950</v>
      </c>
      <c r="F98" s="27">
        <f t="shared" si="11"/>
        <v>201</v>
      </c>
      <c r="G98" s="27">
        <f t="shared" si="11"/>
        <v>1454130.2549999999</v>
      </c>
      <c r="H98" s="27">
        <f t="shared" si="11"/>
        <v>38576</v>
      </c>
      <c r="I98" s="27">
        <f t="shared" si="11"/>
        <v>0</v>
      </c>
      <c r="J98" s="27">
        <f t="shared" si="11"/>
        <v>1415554.2549999999</v>
      </c>
      <c r="K98" s="27">
        <f t="shared" si="11"/>
        <v>-575681</v>
      </c>
      <c r="L98" s="27">
        <f t="shared" si="11"/>
        <v>839873.25499999989</v>
      </c>
      <c r="M98" s="27">
        <f>SUM(M6:M96)</f>
        <v>0</v>
      </c>
      <c r="N98" s="51"/>
      <c r="O98" s="51">
        <f t="shared" ref="O98" si="12">SUM(O6:O97)</f>
        <v>31790412.920000002</v>
      </c>
      <c r="P98" s="51">
        <f>SUM(P6:P97)</f>
        <v>43959263.619999997</v>
      </c>
      <c r="Q98" s="57">
        <f>O98-P98</f>
        <v>-12168850.699999996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19" t="s">
        <v>115</v>
      </c>
      <c r="M100" s="119"/>
      <c r="O100" s="55" t="s">
        <v>110</v>
      </c>
      <c r="P100" s="54">
        <v>79909923</v>
      </c>
    </row>
    <row r="101" spans="1:22">
      <c r="P101" s="54">
        <f>P100-P98</f>
        <v>35950659.380000003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5" activePane="bottomLeft" state="frozen"/>
      <selection pane="bottomLeft" activeCell="Q30" sqref="Q30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154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32066</v>
      </c>
      <c r="E6" s="15">
        <v>19356</v>
      </c>
      <c r="F6" s="16"/>
      <c r="G6" s="15">
        <f>D6+E6-F6</f>
        <v>51422</v>
      </c>
      <c r="H6" s="15">
        <v>16247</v>
      </c>
      <c r="I6" s="16"/>
      <c r="J6" s="15">
        <f>G6-H6-I6</f>
        <v>35175</v>
      </c>
      <c r="K6" s="15">
        <v>8000</v>
      </c>
      <c r="L6" s="15">
        <f>J6+K6</f>
        <v>43175</v>
      </c>
      <c r="M6" s="30" t="s">
        <v>75</v>
      </c>
      <c r="N6" s="99">
        <v>21.5</v>
      </c>
      <c r="O6" s="50">
        <f>L6*N6</f>
        <v>928262.5</v>
      </c>
      <c r="P6" s="50">
        <f>J6*N6</f>
        <v>756262.5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83811</v>
      </c>
      <c r="E7" s="15"/>
      <c r="F7" s="15"/>
      <c r="G7" s="15">
        <f t="shared" ref="G7:G80" si="0">D7+E7-F7</f>
        <v>83811</v>
      </c>
      <c r="H7" s="15">
        <v>7088</v>
      </c>
      <c r="I7" s="15"/>
      <c r="J7" s="15">
        <f t="shared" ref="J7:J70" si="1">G7-H7-I7</f>
        <v>76723</v>
      </c>
      <c r="K7" s="15">
        <v>-5000</v>
      </c>
      <c r="L7" s="15">
        <f t="shared" ref="L7:L87" si="2">J7+K7</f>
        <v>71723</v>
      </c>
      <c r="M7" s="30"/>
      <c r="N7" s="99">
        <v>38</v>
      </c>
      <c r="O7" s="50">
        <f t="shared" ref="O7:O70" si="3">L7*N7</f>
        <v>2725474</v>
      </c>
      <c r="P7" s="50">
        <f t="shared" ref="P7:P70" si="4">J7*N7</f>
        <v>2915474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80762</v>
      </c>
      <c r="E8" s="15">
        <f>14762</f>
        <v>14762</v>
      </c>
      <c r="F8" s="15"/>
      <c r="G8" s="15">
        <f t="shared" si="0"/>
        <v>95524</v>
      </c>
      <c r="H8" s="15">
        <v>2839</v>
      </c>
      <c r="I8" s="15"/>
      <c r="J8" s="15">
        <f t="shared" si="1"/>
        <v>92685</v>
      </c>
      <c r="K8" s="15">
        <v>0</v>
      </c>
      <c r="L8" s="15">
        <f t="shared" si="2"/>
        <v>92685</v>
      </c>
      <c r="M8" s="30"/>
      <c r="N8" s="99">
        <v>12</v>
      </c>
      <c r="O8" s="50">
        <f t="shared" si="3"/>
        <v>1112220</v>
      </c>
      <c r="P8" s="50">
        <f t="shared" si="4"/>
        <v>1112220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798071</v>
      </c>
      <c r="E10" s="15"/>
      <c r="F10" s="15"/>
      <c r="G10" s="15">
        <f t="shared" si="0"/>
        <v>798071</v>
      </c>
      <c r="H10" s="15">
        <v>5241</v>
      </c>
      <c r="I10" s="15"/>
      <c r="J10" s="15">
        <f t="shared" si="1"/>
        <v>792830</v>
      </c>
      <c r="K10" s="15">
        <v>-607000</v>
      </c>
      <c r="L10" s="15">
        <f t="shared" si="2"/>
        <v>185830</v>
      </c>
      <c r="M10" s="30"/>
      <c r="N10" s="99">
        <v>23.09</v>
      </c>
      <c r="O10" s="50">
        <f t="shared" si="3"/>
        <v>4290814.7</v>
      </c>
      <c r="P10" s="50">
        <f t="shared" si="4"/>
        <v>18306444.699999999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6393</v>
      </c>
      <c r="E11" s="15"/>
      <c r="F11" s="15"/>
      <c r="G11" s="15">
        <f t="shared" si="0"/>
        <v>6393</v>
      </c>
      <c r="H11" s="15">
        <v>2136</v>
      </c>
      <c r="I11" s="15"/>
      <c r="J11" s="15">
        <f t="shared" si="1"/>
        <v>4257</v>
      </c>
      <c r="K11" s="15">
        <v>2000</v>
      </c>
      <c r="L11" s="15">
        <f t="shared" si="2"/>
        <v>6257</v>
      </c>
      <c r="M11" s="30" t="s">
        <v>75</v>
      </c>
      <c r="N11" s="99">
        <v>16.5</v>
      </c>
      <c r="O11" s="50">
        <f t="shared" si="3"/>
        <v>103240.5</v>
      </c>
      <c r="P11" s="50">
        <f t="shared" si="4"/>
        <v>70240.5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4349</v>
      </c>
      <c r="E13" s="15"/>
      <c r="F13" s="15"/>
      <c r="G13" s="15">
        <f t="shared" si="0"/>
        <v>4349</v>
      </c>
      <c r="H13" s="15">
        <v>2473</v>
      </c>
      <c r="I13" s="15"/>
      <c r="J13" s="15">
        <f t="shared" si="1"/>
        <v>1876</v>
      </c>
      <c r="K13" s="15">
        <v>5000</v>
      </c>
      <c r="L13" s="15">
        <f t="shared" si="2"/>
        <v>6876</v>
      </c>
      <c r="M13" s="30" t="s">
        <v>75</v>
      </c>
      <c r="N13" s="99">
        <v>27.5</v>
      </c>
      <c r="O13" s="50">
        <f t="shared" si="3"/>
        <v>189090</v>
      </c>
      <c r="P13" s="50">
        <f t="shared" si="4"/>
        <v>51590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11036</v>
      </c>
      <c r="E14" s="15"/>
      <c r="F14" s="15"/>
      <c r="G14" s="15">
        <f t="shared" si="0"/>
        <v>11036</v>
      </c>
      <c r="H14" s="15">
        <v>78</v>
      </c>
      <c r="I14" s="16"/>
      <c r="J14" s="15">
        <f t="shared" si="1"/>
        <v>10958</v>
      </c>
      <c r="K14" s="15">
        <v>-1000</v>
      </c>
      <c r="L14" s="15">
        <f t="shared" si="2"/>
        <v>9958</v>
      </c>
      <c r="M14" s="30"/>
      <c r="N14" s="99">
        <v>59</v>
      </c>
      <c r="O14" s="50">
        <f t="shared" si="3"/>
        <v>587522</v>
      </c>
      <c r="P14" s="50">
        <f t="shared" si="4"/>
        <v>646522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17938</v>
      </c>
      <c r="E16" s="29"/>
      <c r="F16" s="15"/>
      <c r="G16" s="15">
        <f t="shared" si="0"/>
        <v>17938</v>
      </c>
      <c r="H16" s="15">
        <v>519</v>
      </c>
      <c r="I16" s="16"/>
      <c r="J16" s="15">
        <f t="shared" si="1"/>
        <v>17419</v>
      </c>
      <c r="K16" s="15">
        <v>0</v>
      </c>
      <c r="L16" s="15">
        <f>J16+K16</f>
        <v>17419</v>
      </c>
      <c r="M16" s="30"/>
      <c r="N16" s="99">
        <v>43.25</v>
      </c>
      <c r="O16" s="50">
        <f t="shared" si="3"/>
        <v>753371.75</v>
      </c>
      <c r="P16" s="50">
        <f t="shared" si="4"/>
        <v>753371.75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14211.439999999999</v>
      </c>
      <c r="E17" s="15"/>
      <c r="F17" s="15"/>
      <c r="G17" s="15">
        <f t="shared" si="0"/>
        <v>14211.439999999999</v>
      </c>
      <c r="H17" s="15"/>
      <c r="I17" s="16"/>
      <c r="J17" s="15">
        <f t="shared" si="1"/>
        <v>14211.439999999999</v>
      </c>
      <c r="K17" s="15">
        <v>0</v>
      </c>
      <c r="L17" s="15">
        <f t="shared" si="2"/>
        <v>14211.439999999999</v>
      </c>
      <c r="M17" s="31"/>
      <c r="N17" s="99">
        <v>53</v>
      </c>
      <c r="O17" s="50">
        <f t="shared" si="3"/>
        <v>753206.32</v>
      </c>
      <c r="P17" s="50">
        <f t="shared" si="4"/>
        <v>753206.32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5520</v>
      </c>
      <c r="E19" s="15"/>
      <c r="F19" s="15"/>
      <c r="G19" s="15">
        <f t="shared" si="0"/>
        <v>5520</v>
      </c>
      <c r="H19" s="15"/>
      <c r="I19" s="16"/>
      <c r="J19" s="15">
        <f t="shared" si="1"/>
        <v>5520</v>
      </c>
      <c r="K19" s="15">
        <v>1000</v>
      </c>
      <c r="L19" s="15">
        <f t="shared" si="2"/>
        <v>6520</v>
      </c>
      <c r="M19" s="30"/>
      <c r="N19" s="99">
        <v>22.8</v>
      </c>
      <c r="O19" s="50">
        <f t="shared" si="3"/>
        <v>148656</v>
      </c>
      <c r="P19" s="50">
        <f t="shared" si="4"/>
        <v>125856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5210</v>
      </c>
      <c r="E20" s="15"/>
      <c r="F20" s="15"/>
      <c r="G20" s="15">
        <f t="shared" si="0"/>
        <v>5210</v>
      </c>
      <c r="H20" s="15">
        <v>248</v>
      </c>
      <c r="I20" s="16"/>
      <c r="J20" s="15">
        <f t="shared" si="1"/>
        <v>4962</v>
      </c>
      <c r="K20" s="15">
        <v>0</v>
      </c>
      <c r="L20" s="15">
        <f t="shared" si="2"/>
        <v>4962</v>
      </c>
      <c r="M20" s="30" t="s">
        <v>75</v>
      </c>
      <c r="N20" s="99">
        <v>20</v>
      </c>
      <c r="O20" s="50">
        <f t="shared" si="3"/>
        <v>99240</v>
      </c>
      <c r="P20" s="50">
        <f t="shared" si="4"/>
        <v>99240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1619</v>
      </c>
      <c r="E21" s="15"/>
      <c r="F21" s="15"/>
      <c r="G21" s="15">
        <f t="shared" si="0"/>
        <v>1619</v>
      </c>
      <c r="H21" s="15">
        <v>461</v>
      </c>
      <c r="I21" s="16"/>
      <c r="J21" s="15">
        <f t="shared" si="1"/>
        <v>1158</v>
      </c>
      <c r="K21" s="15">
        <v>0</v>
      </c>
      <c r="L21" s="15">
        <f t="shared" si="2"/>
        <v>1158</v>
      </c>
      <c r="M21" s="30"/>
      <c r="N21" s="99">
        <v>8.5</v>
      </c>
      <c r="O21" s="50">
        <f t="shared" si="3"/>
        <v>9843</v>
      </c>
      <c r="P21" s="50">
        <f t="shared" si="4"/>
        <v>9843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227196</v>
      </c>
      <c r="E22" s="15"/>
      <c r="F22" s="15"/>
      <c r="G22" s="15">
        <f t="shared" si="0"/>
        <v>227196</v>
      </c>
      <c r="H22" s="15">
        <v>957</v>
      </c>
      <c r="I22" s="16"/>
      <c r="J22" s="15">
        <f t="shared" si="1"/>
        <v>226239</v>
      </c>
      <c r="K22" s="15">
        <v>8000</v>
      </c>
      <c r="L22" s="15">
        <f t="shared" si="2"/>
        <v>234239</v>
      </c>
      <c r="M22" s="30"/>
      <c r="N22" s="99">
        <v>8.5</v>
      </c>
      <c r="O22" s="50">
        <f t="shared" si="3"/>
        <v>1991031.5</v>
      </c>
      <c r="P22" s="50">
        <f t="shared" si="4"/>
        <v>1923031.5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4743</v>
      </c>
      <c r="E23" s="15"/>
      <c r="F23" s="15"/>
      <c r="G23" s="15">
        <f t="shared" si="0"/>
        <v>4743</v>
      </c>
      <c r="H23" s="15">
        <v>418</v>
      </c>
      <c r="I23" s="16"/>
      <c r="J23" s="15">
        <f t="shared" si="1"/>
        <v>4325</v>
      </c>
      <c r="K23" s="15">
        <v>1500</v>
      </c>
      <c r="L23" s="15">
        <f t="shared" si="2"/>
        <v>5825</v>
      </c>
      <c r="M23" s="30" t="s">
        <v>75</v>
      </c>
      <c r="N23" s="99">
        <v>82</v>
      </c>
      <c r="O23" s="50">
        <f t="shared" si="3"/>
        <v>477650</v>
      </c>
      <c r="P23" s="50">
        <f t="shared" si="4"/>
        <v>354650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9543</v>
      </c>
      <c r="E24" s="29"/>
      <c r="F24" s="29"/>
      <c r="G24" s="15">
        <f t="shared" si="0"/>
        <v>9543</v>
      </c>
      <c r="H24" s="15">
        <v>1749</v>
      </c>
      <c r="I24" s="16"/>
      <c r="J24" s="15">
        <f t="shared" si="1"/>
        <v>7794</v>
      </c>
      <c r="K24" s="15">
        <v>2713</v>
      </c>
      <c r="L24" s="15">
        <f t="shared" si="2"/>
        <v>10507</v>
      </c>
      <c r="M24" s="30"/>
      <c r="N24" s="99">
        <v>22.1</v>
      </c>
      <c r="O24" s="50">
        <f t="shared" si="3"/>
        <v>232204.7</v>
      </c>
      <c r="P24" s="50">
        <f t="shared" si="4"/>
        <v>172247.40000000002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155</v>
      </c>
      <c r="D26" s="15">
        <v>2229</v>
      </c>
      <c r="E26" s="15"/>
      <c r="F26" s="15"/>
      <c r="G26" s="15">
        <f t="shared" si="0"/>
        <v>2229</v>
      </c>
      <c r="H26" s="15">
        <f>1076+54</f>
        <v>1130</v>
      </c>
      <c r="I26" s="16"/>
      <c r="J26" s="76">
        <f t="shared" si="1"/>
        <v>1099</v>
      </c>
      <c r="K26" s="76">
        <v>46</v>
      </c>
      <c r="L26" s="76">
        <f t="shared" si="2"/>
        <v>1145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9990</v>
      </c>
      <c r="E31" s="15"/>
      <c r="F31" s="15"/>
      <c r="G31" s="15">
        <f t="shared" si="0"/>
        <v>9990</v>
      </c>
      <c r="H31" s="15"/>
      <c r="I31" s="16"/>
      <c r="J31" s="76">
        <f t="shared" si="1"/>
        <v>9990</v>
      </c>
      <c r="K31" s="76">
        <v>0</v>
      </c>
      <c r="L31" s="76">
        <f t="shared" si="2"/>
        <v>9990</v>
      </c>
      <c r="M31" s="78"/>
      <c r="N31" s="99">
        <v>60</v>
      </c>
      <c r="O31" s="50">
        <f t="shared" si="3"/>
        <v>599400</v>
      </c>
      <c r="P31" s="50">
        <f t="shared" si="4"/>
        <v>599400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9036</v>
      </c>
      <c r="E32" s="15"/>
      <c r="F32" s="15"/>
      <c r="G32" s="15">
        <f t="shared" si="0"/>
        <v>9036</v>
      </c>
      <c r="H32" s="15">
        <v>8026</v>
      </c>
      <c r="I32" s="16"/>
      <c r="J32" s="76">
        <f t="shared" si="1"/>
        <v>1010</v>
      </c>
      <c r="K32" s="76"/>
      <c r="L32" s="76">
        <f t="shared" si="2"/>
        <v>1010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13560</v>
      </c>
      <c r="E33" s="15"/>
      <c r="F33" s="15"/>
      <c r="G33" s="15">
        <f t="shared" si="0"/>
        <v>13560</v>
      </c>
      <c r="H33" s="15">
        <v>186</v>
      </c>
      <c r="I33" s="16"/>
      <c r="J33" s="76">
        <f t="shared" si="1"/>
        <v>13374</v>
      </c>
      <c r="K33" s="76">
        <v>206</v>
      </c>
      <c r="L33" s="76">
        <f t="shared" si="2"/>
        <v>13580</v>
      </c>
      <c r="M33" s="30"/>
      <c r="N33" s="99">
        <v>12.49</v>
      </c>
      <c r="O33" s="50">
        <f t="shared" si="3"/>
        <v>169614.2</v>
      </c>
      <c r="P33" s="50">
        <f t="shared" si="4"/>
        <v>167041.26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163</v>
      </c>
      <c r="E34" s="15"/>
      <c r="F34" s="15"/>
      <c r="G34" s="15">
        <f t="shared" si="0"/>
        <v>163</v>
      </c>
      <c r="H34" s="15">
        <v>4</v>
      </c>
      <c r="I34" s="16"/>
      <c r="J34" s="76">
        <f t="shared" si="1"/>
        <v>159</v>
      </c>
      <c r="K34" s="76">
        <v>-50</v>
      </c>
      <c r="L34" s="76">
        <f t="shared" si="2"/>
        <v>109</v>
      </c>
      <c r="M34" s="77"/>
      <c r="N34" s="99">
        <v>435</v>
      </c>
      <c r="O34" s="50">
        <f t="shared" si="3"/>
        <v>47415</v>
      </c>
      <c r="P34" s="50">
        <f t="shared" si="4"/>
        <v>69165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109</v>
      </c>
      <c r="E35" s="15"/>
      <c r="F35" s="15"/>
      <c r="G35" s="15">
        <f t="shared" si="0"/>
        <v>109</v>
      </c>
      <c r="H35" s="15">
        <v>5</v>
      </c>
      <c r="I35" s="16"/>
      <c r="J35" s="76">
        <f>G35-H35-I35</f>
        <v>104</v>
      </c>
      <c r="K35" s="76">
        <v>-50</v>
      </c>
      <c r="L35" s="76">
        <f t="shared" si="2"/>
        <v>54</v>
      </c>
      <c r="M35" s="84"/>
      <c r="N35" s="99">
        <v>730</v>
      </c>
      <c r="O35" s="50">
        <f t="shared" si="3"/>
        <v>39420</v>
      </c>
      <c r="P35" s="50">
        <f t="shared" si="4"/>
        <v>75920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329</v>
      </c>
      <c r="E36" s="15"/>
      <c r="F36" s="15"/>
      <c r="G36" s="15">
        <f t="shared" si="0"/>
        <v>329</v>
      </c>
      <c r="H36" s="16">
        <v>1</v>
      </c>
      <c r="I36" s="16"/>
      <c r="J36" s="76">
        <f t="shared" si="1"/>
        <v>328</v>
      </c>
      <c r="K36" s="76">
        <v>-125</v>
      </c>
      <c r="L36" s="76">
        <f t="shared" si="2"/>
        <v>203</v>
      </c>
      <c r="M36" s="84"/>
      <c r="N36" s="99">
        <v>155</v>
      </c>
      <c r="O36" s="50">
        <f t="shared" si="3"/>
        <v>31465</v>
      </c>
      <c r="P36" s="50">
        <f t="shared" si="4"/>
        <v>50840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1136</v>
      </c>
      <c r="E37" s="15"/>
      <c r="F37" s="15"/>
      <c r="G37" s="15">
        <f t="shared" si="0"/>
        <v>1136</v>
      </c>
      <c r="H37" s="16">
        <v>90</v>
      </c>
      <c r="I37" s="16"/>
      <c r="J37" s="76">
        <f t="shared" si="1"/>
        <v>1046</v>
      </c>
      <c r="K37" s="76">
        <v>0</v>
      </c>
      <c r="L37" s="76">
        <f t="shared" si="2"/>
        <v>1046</v>
      </c>
      <c r="M37" s="84"/>
      <c r="N37" s="99">
        <v>125</v>
      </c>
      <c r="O37" s="50">
        <f t="shared" si="3"/>
        <v>130750</v>
      </c>
      <c r="P37" s="50">
        <f t="shared" si="4"/>
        <v>130750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280</v>
      </c>
      <c r="E39" s="15"/>
      <c r="F39" s="15"/>
      <c r="G39" s="15">
        <f t="shared" si="0"/>
        <v>280</v>
      </c>
      <c r="H39" s="16"/>
      <c r="I39" s="16"/>
      <c r="J39" s="76">
        <f t="shared" si="1"/>
        <v>280</v>
      </c>
      <c r="K39" s="76">
        <v>-70</v>
      </c>
      <c r="L39" s="76">
        <f t="shared" si="2"/>
        <v>210</v>
      </c>
      <c r="M39" s="84"/>
      <c r="N39" s="99">
        <v>975</v>
      </c>
      <c r="O39" s="50">
        <f t="shared" si="3"/>
        <v>204750</v>
      </c>
      <c r="P39" s="50">
        <f t="shared" si="4"/>
        <v>273000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669</v>
      </c>
      <c r="E41" s="15"/>
      <c r="F41" s="15"/>
      <c r="G41" s="15">
        <f t="shared" si="0"/>
        <v>669</v>
      </c>
      <c r="H41" s="16">
        <v>9</v>
      </c>
      <c r="I41" s="16"/>
      <c r="J41" s="76">
        <f t="shared" si="1"/>
        <v>660</v>
      </c>
      <c r="K41" s="76">
        <v>500</v>
      </c>
      <c r="L41" s="76">
        <f t="shared" si="2"/>
        <v>1160</v>
      </c>
      <c r="M41" s="84"/>
      <c r="N41" s="99">
        <v>125</v>
      </c>
      <c r="O41" s="50">
        <f t="shared" si="3"/>
        <v>145000</v>
      </c>
      <c r="P41" s="50">
        <f t="shared" si="4"/>
        <v>82500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10552</v>
      </c>
      <c r="E44" s="15"/>
      <c r="F44" s="15"/>
      <c r="G44" s="15">
        <f t="shared" si="0"/>
        <v>10552</v>
      </c>
      <c r="H44" s="16"/>
      <c r="I44" s="16"/>
      <c r="J44" s="76">
        <f t="shared" si="1"/>
        <v>10552</v>
      </c>
      <c r="K44" s="76">
        <v>2200</v>
      </c>
      <c r="L44" s="76">
        <f t="shared" si="2"/>
        <v>12752</v>
      </c>
      <c r="M44" s="84"/>
      <c r="N44" s="99">
        <v>80</v>
      </c>
      <c r="O44" s="50">
        <f t="shared" si="3"/>
        <v>1020160</v>
      </c>
      <c r="P44" s="50">
        <f t="shared" si="4"/>
        <v>844160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15822</v>
      </c>
      <c r="E46" s="15"/>
      <c r="F46" s="15"/>
      <c r="G46" s="15">
        <f t="shared" si="0"/>
        <v>15822</v>
      </c>
      <c r="H46" s="16">
        <v>52</v>
      </c>
      <c r="I46" s="16"/>
      <c r="J46" s="76">
        <f t="shared" si="1"/>
        <v>15770</v>
      </c>
      <c r="K46" s="76">
        <v>-180</v>
      </c>
      <c r="L46" s="76">
        <f t="shared" si="2"/>
        <v>15590</v>
      </c>
      <c r="M46" s="84"/>
      <c r="N46" s="99">
        <v>275</v>
      </c>
      <c r="O46" s="50">
        <f t="shared" si="3"/>
        <v>4287250</v>
      </c>
      <c r="P46" s="50">
        <f t="shared" si="4"/>
        <v>4336750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954</v>
      </c>
      <c r="E47" s="15"/>
      <c r="F47" s="15"/>
      <c r="G47" s="15">
        <f t="shared" si="0"/>
        <v>954</v>
      </c>
      <c r="H47" s="15">
        <v>6</v>
      </c>
      <c r="I47" s="16"/>
      <c r="J47" s="76">
        <f t="shared" si="1"/>
        <v>948</v>
      </c>
      <c r="K47" s="76">
        <v>0</v>
      </c>
      <c r="L47" s="76">
        <f t="shared" si="2"/>
        <v>948</v>
      </c>
      <c r="M47" s="84"/>
      <c r="N47" s="99">
        <v>250</v>
      </c>
      <c r="O47" s="50">
        <f t="shared" si="3"/>
        <v>237000</v>
      </c>
      <c r="P47" s="50">
        <f t="shared" si="4"/>
        <v>237000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335</v>
      </c>
      <c r="E49" s="15"/>
      <c r="F49" s="15"/>
      <c r="G49" s="15">
        <f t="shared" si="0"/>
        <v>335</v>
      </c>
      <c r="H49" s="15">
        <v>33</v>
      </c>
      <c r="I49" s="16"/>
      <c r="J49" s="76">
        <f t="shared" si="1"/>
        <v>302</v>
      </c>
      <c r="K49" s="76">
        <v>45</v>
      </c>
      <c r="L49" s="76">
        <f t="shared" si="2"/>
        <v>347</v>
      </c>
      <c r="M49" s="84"/>
      <c r="N49" s="99">
        <v>800</v>
      </c>
      <c r="O49" s="50">
        <f t="shared" si="3"/>
        <v>277600</v>
      </c>
      <c r="P49" s="50">
        <f t="shared" si="4"/>
        <v>241600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76</v>
      </c>
      <c r="E53" s="15"/>
      <c r="F53" s="15"/>
      <c r="G53" s="15">
        <f t="shared" si="0"/>
        <v>76</v>
      </c>
      <c r="H53" s="15">
        <v>1</v>
      </c>
      <c r="I53" s="20"/>
      <c r="J53" s="76">
        <f t="shared" si="1"/>
        <v>75</v>
      </c>
      <c r="K53" s="76">
        <v>0</v>
      </c>
      <c r="L53" s="76">
        <f t="shared" si="2"/>
        <v>75</v>
      </c>
      <c r="M53" s="84"/>
      <c r="N53" s="99">
        <v>1600</v>
      </c>
      <c r="O53" s="50">
        <f t="shared" si="3"/>
        <v>120000</v>
      </c>
      <c r="P53" s="50">
        <f t="shared" si="4"/>
        <v>120000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727</v>
      </c>
      <c r="E54" s="15"/>
      <c r="F54" s="15"/>
      <c r="G54" s="15">
        <f t="shared" si="0"/>
        <v>727</v>
      </c>
      <c r="H54" s="15">
        <v>1</v>
      </c>
      <c r="I54" s="16"/>
      <c r="J54" s="76">
        <f t="shared" si="1"/>
        <v>726</v>
      </c>
      <c r="K54" s="76">
        <v>-350</v>
      </c>
      <c r="L54" s="76">
        <f t="shared" si="2"/>
        <v>376</v>
      </c>
      <c r="M54" s="84"/>
      <c r="N54" s="99">
        <v>375</v>
      </c>
      <c r="O54" s="50">
        <f t="shared" si="3"/>
        <v>141000</v>
      </c>
      <c r="P54" s="50">
        <f t="shared" si="4"/>
        <v>272250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123</v>
      </c>
      <c r="E55" s="15"/>
      <c r="F55" s="15"/>
      <c r="G55" s="15">
        <f t="shared" si="0"/>
        <v>123</v>
      </c>
      <c r="H55" s="15">
        <v>3</v>
      </c>
      <c r="I55" s="21"/>
      <c r="J55" s="76">
        <f t="shared" si="1"/>
        <v>120</v>
      </c>
      <c r="K55" s="76">
        <v>9</v>
      </c>
      <c r="L55" s="76">
        <f t="shared" si="2"/>
        <v>129</v>
      </c>
      <c r="M55" s="30"/>
      <c r="N55" s="99">
        <v>425</v>
      </c>
      <c r="O55" s="50">
        <f t="shared" si="3"/>
        <v>54825</v>
      </c>
      <c r="P55" s="50">
        <f t="shared" si="4"/>
        <v>51000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450</v>
      </c>
      <c r="E56" s="15"/>
      <c r="F56" s="15"/>
      <c r="G56" s="15">
        <f t="shared" si="0"/>
        <v>450</v>
      </c>
      <c r="H56" s="15">
        <v>12</v>
      </c>
      <c r="I56" s="22"/>
      <c r="J56" s="76">
        <f t="shared" si="1"/>
        <v>438</v>
      </c>
      <c r="K56" s="76">
        <v>-200</v>
      </c>
      <c r="L56" s="76">
        <f t="shared" si="2"/>
        <v>238</v>
      </c>
      <c r="M56" s="84"/>
      <c r="N56" s="99">
        <v>390</v>
      </c>
      <c r="O56" s="50">
        <f t="shared" si="3"/>
        <v>92820</v>
      </c>
      <c r="P56" s="50">
        <f t="shared" si="4"/>
        <v>170820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-67</v>
      </c>
      <c r="E58" s="15"/>
      <c r="F58" s="15"/>
      <c r="G58" s="15">
        <f t="shared" si="0"/>
        <v>-67</v>
      </c>
      <c r="H58" s="15">
        <v>12</v>
      </c>
      <c r="I58" s="16"/>
      <c r="J58" s="76">
        <f t="shared" si="1"/>
        <v>-79</v>
      </c>
      <c r="K58" s="76">
        <v>50</v>
      </c>
      <c r="L58" s="76">
        <f t="shared" si="2"/>
        <v>-29</v>
      </c>
      <c r="M58" s="30"/>
      <c r="N58" s="99">
        <v>132</v>
      </c>
      <c r="O58" s="50">
        <f t="shared" si="3"/>
        <v>-3828</v>
      </c>
      <c r="P58" s="50">
        <f t="shared" si="4"/>
        <v>-10428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371</v>
      </c>
      <c r="E59" s="15"/>
      <c r="F59" s="15"/>
      <c r="G59" s="15">
        <f t="shared" si="0"/>
        <v>371</v>
      </c>
      <c r="H59" s="15">
        <v>3</v>
      </c>
      <c r="I59" s="16"/>
      <c r="J59" s="76">
        <f t="shared" si="1"/>
        <v>368</v>
      </c>
      <c r="K59" s="76">
        <v>0</v>
      </c>
      <c r="L59" s="76">
        <f t="shared" si="2"/>
        <v>368</v>
      </c>
      <c r="M59" s="84"/>
      <c r="N59" s="99">
        <v>570</v>
      </c>
      <c r="O59" s="50">
        <f t="shared" si="3"/>
        <v>209760</v>
      </c>
      <c r="P59" s="50">
        <f t="shared" si="4"/>
        <v>209760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5497</v>
      </c>
      <c r="E62" s="15"/>
      <c r="F62" s="15"/>
      <c r="G62" s="15">
        <f t="shared" si="0"/>
        <v>5497</v>
      </c>
      <c r="H62" s="15">
        <v>46</v>
      </c>
      <c r="I62" s="16"/>
      <c r="J62" s="76">
        <f t="shared" si="1"/>
        <v>5451</v>
      </c>
      <c r="K62" s="76">
        <v>187</v>
      </c>
      <c r="L62" s="76">
        <f t="shared" si="2"/>
        <v>5638</v>
      </c>
      <c r="M62" s="30"/>
      <c r="N62" s="99">
        <v>87.38</v>
      </c>
      <c r="O62" s="50">
        <f t="shared" si="3"/>
        <v>492648.44</v>
      </c>
      <c r="P62" s="50">
        <f t="shared" si="4"/>
        <v>476308.37999999995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5</v>
      </c>
      <c r="E63" s="15"/>
      <c r="F63" s="15"/>
      <c r="G63" s="15">
        <f t="shared" si="0"/>
        <v>5</v>
      </c>
      <c r="H63" s="15">
        <v>3</v>
      </c>
      <c r="I63" s="16"/>
      <c r="J63" s="76">
        <f t="shared" si="1"/>
        <v>2</v>
      </c>
      <c r="K63" s="76">
        <v>300</v>
      </c>
      <c r="L63" s="76">
        <f t="shared" si="2"/>
        <v>302</v>
      </c>
      <c r="M63" s="84"/>
      <c r="N63" s="99">
        <v>290</v>
      </c>
      <c r="O63" s="50">
        <f t="shared" si="3"/>
        <v>87580</v>
      </c>
      <c r="P63" s="50">
        <f t="shared" si="4"/>
        <v>580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6</v>
      </c>
      <c r="E64" s="23"/>
      <c r="F64" s="23"/>
      <c r="G64" s="23">
        <f t="shared" si="0"/>
        <v>6</v>
      </c>
      <c r="H64" s="23">
        <v>12</v>
      </c>
      <c r="I64" s="23"/>
      <c r="J64" s="76">
        <f t="shared" si="1"/>
        <v>-6</v>
      </c>
      <c r="K64" s="79">
        <v>100</v>
      </c>
      <c r="L64" s="76">
        <f t="shared" si="2"/>
        <v>94</v>
      </c>
      <c r="M64" s="30"/>
      <c r="N64" s="99">
        <v>70</v>
      </c>
      <c r="O64" s="50">
        <f t="shared" si="3"/>
        <v>6580</v>
      </c>
      <c r="P64" s="50">
        <f t="shared" si="4"/>
        <v>-420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-33</v>
      </c>
      <c r="E65" s="24"/>
      <c r="F65" s="24"/>
      <c r="G65" s="16">
        <f t="shared" si="0"/>
        <v>-33</v>
      </c>
      <c r="H65" s="24">
        <v>13</v>
      </c>
      <c r="I65" s="24"/>
      <c r="J65" s="76">
        <f t="shared" si="1"/>
        <v>-46</v>
      </c>
      <c r="K65" s="80">
        <v>15</v>
      </c>
      <c r="L65" s="76">
        <f t="shared" si="2"/>
        <v>-31</v>
      </c>
      <c r="M65" s="86"/>
      <c r="N65" s="99">
        <v>240</v>
      </c>
      <c r="O65" s="50">
        <f t="shared" si="3"/>
        <v>-7440</v>
      </c>
      <c r="P65" s="50">
        <f t="shared" si="4"/>
        <v>-11040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314</v>
      </c>
      <c r="E66" s="24"/>
      <c r="F66" s="24"/>
      <c r="G66" s="16">
        <f t="shared" si="0"/>
        <v>314</v>
      </c>
      <c r="H66" s="24">
        <v>4</v>
      </c>
      <c r="I66" s="24"/>
      <c r="J66" s="76">
        <f t="shared" si="1"/>
        <v>310</v>
      </c>
      <c r="K66" s="81">
        <v>0</v>
      </c>
      <c r="L66" s="81">
        <f t="shared" si="2"/>
        <v>310</v>
      </c>
      <c r="M66" s="86"/>
      <c r="N66" s="99">
        <v>1100</v>
      </c>
      <c r="O66" s="50">
        <f t="shared" si="3"/>
        <v>341000</v>
      </c>
      <c r="P66" s="50">
        <f t="shared" si="4"/>
        <v>341000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-2829</v>
      </c>
      <c r="E67" s="24"/>
      <c r="F67" s="24"/>
      <c r="G67" s="16">
        <f t="shared" si="0"/>
        <v>-2829</v>
      </c>
      <c r="H67" s="24">
        <v>143</v>
      </c>
      <c r="I67" s="24"/>
      <c r="J67" s="76">
        <f t="shared" si="1"/>
        <v>-2972</v>
      </c>
      <c r="K67" s="80">
        <v>2800</v>
      </c>
      <c r="L67" s="76">
        <f t="shared" si="2"/>
        <v>-172</v>
      </c>
      <c r="M67" s="84"/>
      <c r="N67" s="99">
        <v>53</v>
      </c>
      <c r="O67" s="50">
        <f t="shared" si="3"/>
        <v>-9116</v>
      </c>
      <c r="P67" s="50">
        <f t="shared" si="4"/>
        <v>-157516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425</v>
      </c>
      <c r="E70" s="24"/>
      <c r="F70" s="24"/>
      <c r="G70" s="16">
        <f t="shared" si="0"/>
        <v>425</v>
      </c>
      <c r="H70" s="24"/>
      <c r="I70" s="24"/>
      <c r="J70" s="76">
        <f t="shared" si="1"/>
        <v>425</v>
      </c>
      <c r="K70" s="80">
        <v>-153</v>
      </c>
      <c r="L70" s="76">
        <f t="shared" si="2"/>
        <v>272</v>
      </c>
      <c r="M70" s="86"/>
      <c r="N70" s="99">
        <v>260</v>
      </c>
      <c r="O70" s="50">
        <f t="shared" si="3"/>
        <v>70720</v>
      </c>
      <c r="P70" s="50">
        <f t="shared" si="4"/>
        <v>110500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3216</v>
      </c>
      <c r="E72" s="24"/>
      <c r="F72" s="24"/>
      <c r="G72" s="16">
        <f t="shared" si="0"/>
        <v>3216</v>
      </c>
      <c r="H72" s="24">
        <v>50</v>
      </c>
      <c r="I72" s="24"/>
      <c r="J72" s="76">
        <f t="shared" si="5"/>
        <v>3166</v>
      </c>
      <c r="K72" s="80">
        <v>-200</v>
      </c>
      <c r="L72" s="76">
        <f t="shared" si="2"/>
        <v>2966</v>
      </c>
      <c r="M72" s="30"/>
      <c r="N72" s="99">
        <v>39</v>
      </c>
      <c r="O72" s="50">
        <f t="shared" si="6"/>
        <v>115674</v>
      </c>
      <c r="P72" s="50">
        <f t="shared" si="7"/>
        <v>123474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17894</v>
      </c>
      <c r="E73" s="24"/>
      <c r="F73" s="24"/>
      <c r="G73" s="16">
        <f t="shared" si="0"/>
        <v>17894</v>
      </c>
      <c r="H73" s="24">
        <v>72</v>
      </c>
      <c r="I73" s="42"/>
      <c r="J73" s="76">
        <f t="shared" si="5"/>
        <v>17822</v>
      </c>
      <c r="K73" s="80">
        <v>0</v>
      </c>
      <c r="L73" s="76">
        <f t="shared" si="2"/>
        <v>17822</v>
      </c>
      <c r="M73" s="84"/>
      <c r="N73" s="99">
        <v>83</v>
      </c>
      <c r="O73" s="50">
        <f t="shared" si="6"/>
        <v>1479226</v>
      </c>
      <c r="P73" s="50">
        <f t="shared" si="7"/>
        <v>1479226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2661</v>
      </c>
      <c r="E75" s="24"/>
      <c r="F75" s="24"/>
      <c r="G75" s="16">
        <f t="shared" si="0"/>
        <v>2661</v>
      </c>
      <c r="H75" s="24">
        <v>225</v>
      </c>
      <c r="I75" s="24"/>
      <c r="J75" s="76">
        <f t="shared" si="5"/>
        <v>2436</v>
      </c>
      <c r="K75" s="80">
        <v>273</v>
      </c>
      <c r="L75" s="76">
        <f t="shared" si="2"/>
        <v>2709</v>
      </c>
      <c r="M75" s="86"/>
      <c r="N75" s="99">
        <v>16</v>
      </c>
      <c r="O75" s="50">
        <f t="shared" si="6"/>
        <v>43344</v>
      </c>
      <c r="P75" s="50">
        <f t="shared" si="7"/>
        <v>38976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314</v>
      </c>
      <c r="E76" s="24"/>
      <c r="F76" s="24"/>
      <c r="G76" s="16">
        <f t="shared" si="0"/>
        <v>314</v>
      </c>
      <c r="H76" s="24">
        <v>5</v>
      </c>
      <c r="I76" s="24"/>
      <c r="J76" s="76">
        <f t="shared" si="5"/>
        <v>309</v>
      </c>
      <c r="K76" s="80">
        <v>-250</v>
      </c>
      <c r="L76" s="76">
        <f t="shared" si="2"/>
        <v>59</v>
      </c>
      <c r="M76" s="30"/>
      <c r="N76" s="99">
        <v>400</v>
      </c>
      <c r="O76" s="50">
        <f t="shared" si="6"/>
        <v>23600</v>
      </c>
      <c r="P76" s="50">
        <f t="shared" si="7"/>
        <v>123600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312</v>
      </c>
      <c r="E78" s="24"/>
      <c r="F78" s="24"/>
      <c r="G78" s="16">
        <f t="shared" si="0"/>
        <v>312</v>
      </c>
      <c r="H78" s="24">
        <v>2</v>
      </c>
      <c r="I78" s="24"/>
      <c r="J78" s="76">
        <f t="shared" si="5"/>
        <v>310</v>
      </c>
      <c r="K78" s="80">
        <v>100</v>
      </c>
      <c r="L78" s="76">
        <f t="shared" si="2"/>
        <v>410</v>
      </c>
      <c r="M78" s="86"/>
      <c r="N78" s="99">
        <v>900</v>
      </c>
      <c r="O78" s="50">
        <f t="shared" si="6"/>
        <v>369000</v>
      </c>
      <c r="P78" s="50">
        <f t="shared" si="7"/>
        <v>279000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5013</v>
      </c>
      <c r="E83" s="98"/>
      <c r="F83" s="24"/>
      <c r="G83" s="16">
        <f t="shared" si="8"/>
        <v>5013</v>
      </c>
      <c r="H83" s="24"/>
      <c r="I83" s="95"/>
      <c r="J83" s="76">
        <f t="shared" si="5"/>
        <v>5013</v>
      </c>
      <c r="K83" s="81">
        <v>0</v>
      </c>
      <c r="L83" s="76">
        <f t="shared" si="2"/>
        <v>5013</v>
      </c>
      <c r="M83" s="85"/>
      <c r="N83" s="100">
        <v>64</v>
      </c>
      <c r="O83" s="50">
        <f t="shared" si="6"/>
        <v>320832</v>
      </c>
      <c r="P83" s="50">
        <f t="shared" si="7"/>
        <v>320832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13</v>
      </c>
      <c r="E84" s="89">
        <v>25</v>
      </c>
      <c r="F84" s="12"/>
      <c r="G84" s="45">
        <f t="shared" si="8"/>
        <v>38</v>
      </c>
      <c r="H84" s="12">
        <v>1</v>
      </c>
      <c r="I84" s="94"/>
      <c r="J84" s="82">
        <f t="shared" ref="J84:J97" si="9">D84+E84-H84-I84</f>
        <v>37</v>
      </c>
      <c r="K84" s="96">
        <v>0</v>
      </c>
      <c r="L84" s="82">
        <f t="shared" si="2"/>
        <v>37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-19</v>
      </c>
      <c r="E85" s="90"/>
      <c r="F85" s="11"/>
      <c r="G85" s="16">
        <f t="shared" si="8"/>
        <v>-19</v>
      </c>
      <c r="H85" s="88"/>
      <c r="I85" s="11"/>
      <c r="J85" s="76">
        <f t="shared" si="9"/>
        <v>-19</v>
      </c>
      <c r="K85" s="97">
        <v>500</v>
      </c>
      <c r="L85" s="76">
        <f t="shared" si="2"/>
        <v>481</v>
      </c>
      <c r="M85" s="86"/>
      <c r="N85" s="99">
        <v>350</v>
      </c>
      <c r="O85" s="50">
        <f t="shared" si="6"/>
        <v>168350</v>
      </c>
      <c r="P85" s="50">
        <f t="shared" si="7"/>
        <v>-6650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401</v>
      </c>
      <c r="E86" s="90"/>
      <c r="F86" s="11"/>
      <c r="G86" s="16">
        <f t="shared" si="8"/>
        <v>401</v>
      </c>
      <c r="H86" s="88"/>
      <c r="I86" s="11"/>
      <c r="J86" s="76">
        <f t="shared" si="9"/>
        <v>401</v>
      </c>
      <c r="K86" s="97">
        <v>300</v>
      </c>
      <c r="L86" s="76">
        <f t="shared" si="2"/>
        <v>701</v>
      </c>
      <c r="M86" s="84"/>
      <c r="N86" s="99">
        <v>165</v>
      </c>
      <c r="O86" s="50">
        <f t="shared" si="6"/>
        <v>115665</v>
      </c>
      <c r="P86" s="50">
        <f t="shared" si="7"/>
        <v>66165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260</v>
      </c>
      <c r="E87" s="11"/>
      <c r="F87" s="11"/>
      <c r="G87" s="16">
        <f t="shared" si="8"/>
        <v>260</v>
      </c>
      <c r="H87" s="88"/>
      <c r="I87" s="11"/>
      <c r="J87" s="76">
        <f t="shared" si="9"/>
        <v>260</v>
      </c>
      <c r="K87" s="97">
        <v>-1</v>
      </c>
      <c r="L87" s="76">
        <f t="shared" si="2"/>
        <v>259</v>
      </c>
      <c r="M87" s="86"/>
      <c r="N87" s="99">
        <v>630</v>
      </c>
      <c r="O87" s="50">
        <f t="shared" si="6"/>
        <v>163170</v>
      </c>
      <c r="P87" s="50">
        <f t="shared" si="7"/>
        <v>163800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18</v>
      </c>
      <c r="E88" s="11"/>
      <c r="F88" s="11"/>
      <c r="G88" s="16">
        <f t="shared" si="8"/>
        <v>18</v>
      </c>
      <c r="H88" s="88">
        <v>2</v>
      </c>
      <c r="I88" s="11"/>
      <c r="J88" s="76">
        <f t="shared" si="9"/>
        <v>16</v>
      </c>
      <c r="K88" s="97">
        <v>0</v>
      </c>
      <c r="L88" s="76">
        <f t="shared" ref="L88:L97" si="10">J88+K88</f>
        <v>16</v>
      </c>
      <c r="M88" s="86"/>
      <c r="N88" s="99">
        <v>285</v>
      </c>
      <c r="O88" s="50">
        <f t="shared" si="6"/>
        <v>4560</v>
      </c>
      <c r="P88" s="50">
        <f t="shared" si="7"/>
        <v>4560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1038</v>
      </c>
      <c r="E89" s="88"/>
      <c r="F89" s="11"/>
      <c r="G89" s="16">
        <f t="shared" si="8"/>
        <v>1038</v>
      </c>
      <c r="H89" s="88">
        <v>500</v>
      </c>
      <c r="I89" s="11"/>
      <c r="J89" s="76">
        <f t="shared" si="9"/>
        <v>538</v>
      </c>
      <c r="K89" s="97">
        <v>0</v>
      </c>
      <c r="L89" s="76">
        <f t="shared" si="10"/>
        <v>538</v>
      </c>
      <c r="M89" s="86"/>
      <c r="N89" s="99">
        <v>205</v>
      </c>
      <c r="O89" s="50">
        <f t="shared" si="6"/>
        <v>110290</v>
      </c>
      <c r="P89" s="50">
        <f t="shared" si="7"/>
        <v>110290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376</v>
      </c>
      <c r="E92" s="88"/>
      <c r="F92" s="11"/>
      <c r="G92" s="16">
        <f t="shared" si="8"/>
        <v>376</v>
      </c>
      <c r="H92" s="88">
        <v>20</v>
      </c>
      <c r="I92" s="11"/>
      <c r="J92" s="83">
        <f t="shared" si="9"/>
        <v>356</v>
      </c>
      <c r="K92" s="97">
        <v>0</v>
      </c>
      <c r="L92" s="76">
        <f t="shared" si="10"/>
        <v>356</v>
      </c>
      <c r="M92" s="86"/>
      <c r="N92" s="99">
        <v>113</v>
      </c>
      <c r="O92" s="50">
        <f t="shared" si="6"/>
        <v>40228</v>
      </c>
      <c r="P92" s="50">
        <f t="shared" si="7"/>
        <v>40228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234</v>
      </c>
      <c r="E94" s="88"/>
      <c r="F94" s="11"/>
      <c r="G94" s="16">
        <f t="shared" si="8"/>
        <v>234</v>
      </c>
      <c r="H94" s="88">
        <v>3</v>
      </c>
      <c r="I94" s="11"/>
      <c r="J94" s="83">
        <f t="shared" si="9"/>
        <v>231</v>
      </c>
      <c r="K94" s="97">
        <v>-50</v>
      </c>
      <c r="L94" s="76">
        <f t="shared" si="10"/>
        <v>181</v>
      </c>
      <c r="M94" s="86"/>
      <c r="N94" s="99">
        <v>950</v>
      </c>
      <c r="O94" s="50">
        <f t="shared" si="6"/>
        <v>171950</v>
      </c>
      <c r="P94" s="50">
        <f t="shared" si="7"/>
        <v>219450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1415554.2549999999</v>
      </c>
      <c r="E98" s="27">
        <f t="shared" ref="E98:L98" si="11">SUM(E6:E97)</f>
        <v>34143</v>
      </c>
      <c r="F98" s="27">
        <f t="shared" si="11"/>
        <v>0</v>
      </c>
      <c r="G98" s="27">
        <f t="shared" si="11"/>
        <v>1449697.2549999999</v>
      </c>
      <c r="H98" s="27">
        <f t="shared" si="11"/>
        <v>51129</v>
      </c>
      <c r="I98" s="27">
        <f t="shared" si="11"/>
        <v>0</v>
      </c>
      <c r="J98" s="27">
        <f t="shared" si="11"/>
        <v>1398568.2549999999</v>
      </c>
      <c r="K98" s="27">
        <f t="shared" si="11"/>
        <v>-575681</v>
      </c>
      <c r="L98" s="27">
        <f t="shared" si="11"/>
        <v>822887.25499999989</v>
      </c>
      <c r="M98" s="27">
        <f>SUM(M6:M96)</f>
        <v>0</v>
      </c>
      <c r="N98" s="51"/>
      <c r="O98" s="51">
        <f t="shared" ref="O98" si="12">SUM(O6:O97)</f>
        <v>31171729.960000001</v>
      </c>
      <c r="P98" s="51">
        <f>SUM(P6:P97)</f>
        <v>43340580.660000004</v>
      </c>
      <c r="Q98" s="57">
        <f>O98-P98</f>
        <v>-12168850.700000003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20" t="s">
        <v>115</v>
      </c>
      <c r="M100" s="120"/>
      <c r="O100" s="55" t="s">
        <v>110</v>
      </c>
      <c r="P100" s="54">
        <v>79909923</v>
      </c>
    </row>
    <row r="101" spans="1:22">
      <c r="P101" s="54">
        <f>P100-P98</f>
        <v>36569342.339999996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0" activePane="bottomLeft" state="frozen"/>
      <selection pane="bottomLeft" activeCell="Q86" sqref="Q86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156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35175</v>
      </c>
      <c r="E6" s="15">
        <f>16261+15904</f>
        <v>32165</v>
      </c>
      <c r="F6" s="16"/>
      <c r="G6" s="15">
        <f>D6+E6-F6</f>
        <v>67340</v>
      </c>
      <c r="H6" s="15">
        <v>10319</v>
      </c>
      <c r="I6" s="16"/>
      <c r="J6" s="15">
        <f>G6-H6-I6</f>
        <v>57021</v>
      </c>
      <c r="K6" s="15">
        <v>8000</v>
      </c>
      <c r="L6" s="15">
        <f>J6+K6</f>
        <v>65021</v>
      </c>
      <c r="M6" s="30" t="s">
        <v>75</v>
      </c>
      <c r="N6" s="99">
        <v>21.5</v>
      </c>
      <c r="O6" s="50">
        <f>L6*N6</f>
        <v>1397951.5</v>
      </c>
      <c r="P6" s="50">
        <f>J6*N6</f>
        <v>1225951.5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76723</v>
      </c>
      <c r="E7" s="15"/>
      <c r="F7" s="15"/>
      <c r="G7" s="15">
        <f t="shared" ref="G7:G80" si="0">D7+E7-F7</f>
        <v>76723</v>
      </c>
      <c r="H7" s="15">
        <v>4152</v>
      </c>
      <c r="I7" s="15"/>
      <c r="J7" s="15">
        <f t="shared" ref="J7:J70" si="1">G7-H7-I7</f>
        <v>72571</v>
      </c>
      <c r="K7" s="15">
        <v>-5000</v>
      </c>
      <c r="L7" s="15">
        <f t="shared" ref="L7:L87" si="2">J7+K7</f>
        <v>67571</v>
      </c>
      <c r="M7" s="30"/>
      <c r="N7" s="99">
        <v>38</v>
      </c>
      <c r="O7" s="50">
        <f t="shared" ref="O7:O70" si="3">L7*N7</f>
        <v>2567698</v>
      </c>
      <c r="P7" s="50">
        <f t="shared" ref="P7:P70" si="4">J7*N7</f>
        <v>2757698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92685</v>
      </c>
      <c r="E8" s="15"/>
      <c r="F8" s="15"/>
      <c r="G8" s="15">
        <f t="shared" si="0"/>
        <v>92685</v>
      </c>
      <c r="H8" s="15">
        <v>356</v>
      </c>
      <c r="I8" s="15"/>
      <c r="J8" s="15">
        <f t="shared" si="1"/>
        <v>92329</v>
      </c>
      <c r="K8" s="15">
        <v>0</v>
      </c>
      <c r="L8" s="15">
        <f t="shared" si="2"/>
        <v>92329</v>
      </c>
      <c r="M8" s="30"/>
      <c r="N8" s="99">
        <v>12</v>
      </c>
      <c r="O8" s="50">
        <f t="shared" si="3"/>
        <v>1107948</v>
      </c>
      <c r="P8" s="50">
        <f t="shared" si="4"/>
        <v>1107948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792830</v>
      </c>
      <c r="E10" s="15"/>
      <c r="F10" s="15"/>
      <c r="G10" s="15">
        <f t="shared" si="0"/>
        <v>792830</v>
      </c>
      <c r="H10" s="15"/>
      <c r="I10" s="15"/>
      <c r="J10" s="15">
        <f t="shared" si="1"/>
        <v>792830</v>
      </c>
      <c r="K10" s="15">
        <v>-607000</v>
      </c>
      <c r="L10" s="15">
        <f t="shared" si="2"/>
        <v>185830</v>
      </c>
      <c r="M10" s="30"/>
      <c r="N10" s="99">
        <v>23.09</v>
      </c>
      <c r="O10" s="50">
        <f t="shared" si="3"/>
        <v>4290814.7</v>
      </c>
      <c r="P10" s="50">
        <f t="shared" si="4"/>
        <v>18306444.699999999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4257</v>
      </c>
      <c r="E11" s="15"/>
      <c r="F11" s="15"/>
      <c r="G11" s="15">
        <f t="shared" si="0"/>
        <v>4257</v>
      </c>
      <c r="H11" s="15">
        <v>521</v>
      </c>
      <c r="I11" s="15"/>
      <c r="J11" s="15">
        <f t="shared" si="1"/>
        <v>3736</v>
      </c>
      <c r="K11" s="15">
        <v>2000</v>
      </c>
      <c r="L11" s="15">
        <f t="shared" si="2"/>
        <v>5736</v>
      </c>
      <c r="M11" s="30" t="s">
        <v>75</v>
      </c>
      <c r="N11" s="99">
        <v>16.5</v>
      </c>
      <c r="O11" s="50">
        <f t="shared" si="3"/>
        <v>94644</v>
      </c>
      <c r="P11" s="50">
        <f t="shared" si="4"/>
        <v>61644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1876</v>
      </c>
      <c r="E13" s="15"/>
      <c r="F13" s="15"/>
      <c r="G13" s="15">
        <f t="shared" si="0"/>
        <v>1876</v>
      </c>
      <c r="H13" s="15"/>
      <c r="I13" s="15"/>
      <c r="J13" s="15">
        <f t="shared" si="1"/>
        <v>1876</v>
      </c>
      <c r="K13" s="15">
        <v>5000</v>
      </c>
      <c r="L13" s="15">
        <f t="shared" si="2"/>
        <v>6876</v>
      </c>
      <c r="M13" s="30" t="s">
        <v>75</v>
      </c>
      <c r="N13" s="99">
        <v>27.5</v>
      </c>
      <c r="O13" s="50">
        <f t="shared" si="3"/>
        <v>189090</v>
      </c>
      <c r="P13" s="50">
        <f t="shared" si="4"/>
        <v>51590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10958</v>
      </c>
      <c r="E14" s="15"/>
      <c r="F14" s="15"/>
      <c r="G14" s="15">
        <f t="shared" si="0"/>
        <v>10958</v>
      </c>
      <c r="H14" s="15"/>
      <c r="I14" s="16"/>
      <c r="J14" s="15">
        <f t="shared" si="1"/>
        <v>10958</v>
      </c>
      <c r="K14" s="15">
        <v>-1000</v>
      </c>
      <c r="L14" s="15">
        <f t="shared" si="2"/>
        <v>9958</v>
      </c>
      <c r="M14" s="30"/>
      <c r="N14" s="99">
        <v>59</v>
      </c>
      <c r="O14" s="50">
        <f t="shared" si="3"/>
        <v>587522</v>
      </c>
      <c r="P14" s="50">
        <f t="shared" si="4"/>
        <v>646522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17419</v>
      </c>
      <c r="E16" s="29"/>
      <c r="F16" s="15"/>
      <c r="G16" s="15">
        <f t="shared" si="0"/>
        <v>17419</v>
      </c>
      <c r="H16" s="15"/>
      <c r="I16" s="16"/>
      <c r="J16" s="15">
        <f t="shared" si="1"/>
        <v>17419</v>
      </c>
      <c r="K16" s="15">
        <v>0</v>
      </c>
      <c r="L16" s="15">
        <f>J16+K16</f>
        <v>17419</v>
      </c>
      <c r="M16" s="30"/>
      <c r="N16" s="99">
        <v>43.25</v>
      </c>
      <c r="O16" s="50">
        <f t="shared" si="3"/>
        <v>753371.75</v>
      </c>
      <c r="P16" s="50">
        <f t="shared" si="4"/>
        <v>753371.75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14211.439999999999</v>
      </c>
      <c r="E17" s="15"/>
      <c r="F17" s="15"/>
      <c r="G17" s="15">
        <f t="shared" si="0"/>
        <v>14211.439999999999</v>
      </c>
      <c r="H17" s="15"/>
      <c r="I17" s="16"/>
      <c r="J17" s="15">
        <f t="shared" si="1"/>
        <v>14211.439999999999</v>
      </c>
      <c r="K17" s="15">
        <v>0</v>
      </c>
      <c r="L17" s="15">
        <f t="shared" si="2"/>
        <v>14211.439999999999</v>
      </c>
      <c r="M17" s="31"/>
      <c r="N17" s="99">
        <v>53</v>
      </c>
      <c r="O17" s="50">
        <f t="shared" si="3"/>
        <v>753206.32</v>
      </c>
      <c r="P17" s="50">
        <f t="shared" si="4"/>
        <v>753206.32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5520</v>
      </c>
      <c r="E19" s="15"/>
      <c r="F19" s="15"/>
      <c r="G19" s="15">
        <f t="shared" si="0"/>
        <v>5520</v>
      </c>
      <c r="H19" s="15"/>
      <c r="I19" s="16"/>
      <c r="J19" s="15">
        <f t="shared" si="1"/>
        <v>5520</v>
      </c>
      <c r="K19" s="15">
        <v>1000</v>
      </c>
      <c r="L19" s="15">
        <f t="shared" si="2"/>
        <v>6520</v>
      </c>
      <c r="M19" s="30"/>
      <c r="N19" s="99">
        <v>22.8</v>
      </c>
      <c r="O19" s="50">
        <f t="shared" si="3"/>
        <v>148656</v>
      </c>
      <c r="P19" s="50">
        <f t="shared" si="4"/>
        <v>125856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4962</v>
      </c>
      <c r="E20" s="15">
        <v>15000</v>
      </c>
      <c r="F20" s="15"/>
      <c r="G20" s="15">
        <f t="shared" si="0"/>
        <v>19962</v>
      </c>
      <c r="H20" s="15"/>
      <c r="I20" s="16"/>
      <c r="J20" s="15">
        <f t="shared" si="1"/>
        <v>19962</v>
      </c>
      <c r="K20" s="15">
        <v>0</v>
      </c>
      <c r="L20" s="15">
        <f t="shared" si="2"/>
        <v>19962</v>
      </c>
      <c r="M20" s="30" t="s">
        <v>75</v>
      </c>
      <c r="N20" s="99">
        <v>20</v>
      </c>
      <c r="O20" s="50">
        <f t="shared" si="3"/>
        <v>399240</v>
      </c>
      <c r="P20" s="50">
        <f t="shared" si="4"/>
        <v>399240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1158</v>
      </c>
      <c r="E21" s="15"/>
      <c r="F21" s="15"/>
      <c r="G21" s="15">
        <f t="shared" si="0"/>
        <v>1158</v>
      </c>
      <c r="H21" s="15"/>
      <c r="I21" s="16"/>
      <c r="J21" s="15">
        <f t="shared" si="1"/>
        <v>1158</v>
      </c>
      <c r="K21" s="15">
        <v>0</v>
      </c>
      <c r="L21" s="15">
        <f t="shared" si="2"/>
        <v>1158</v>
      </c>
      <c r="M21" s="30"/>
      <c r="N21" s="99">
        <v>8.5</v>
      </c>
      <c r="O21" s="50">
        <f t="shared" si="3"/>
        <v>9843</v>
      </c>
      <c r="P21" s="50">
        <f t="shared" si="4"/>
        <v>9843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226239</v>
      </c>
      <c r="E22" s="15"/>
      <c r="F22" s="15"/>
      <c r="G22" s="15">
        <f t="shared" si="0"/>
        <v>226239</v>
      </c>
      <c r="H22" s="15">
        <v>1539</v>
      </c>
      <c r="I22" s="16"/>
      <c r="J22" s="15">
        <f t="shared" si="1"/>
        <v>224700</v>
      </c>
      <c r="K22" s="15">
        <v>8000</v>
      </c>
      <c r="L22" s="15">
        <f t="shared" si="2"/>
        <v>232700</v>
      </c>
      <c r="M22" s="30"/>
      <c r="N22" s="99">
        <v>8.5</v>
      </c>
      <c r="O22" s="50">
        <f t="shared" si="3"/>
        <v>1977950</v>
      </c>
      <c r="P22" s="50">
        <f t="shared" si="4"/>
        <v>1909950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4325</v>
      </c>
      <c r="E23" s="15"/>
      <c r="F23" s="15"/>
      <c r="G23" s="15">
        <f t="shared" si="0"/>
        <v>4325</v>
      </c>
      <c r="H23" s="15">
        <v>110</v>
      </c>
      <c r="I23" s="16"/>
      <c r="J23" s="15">
        <f t="shared" si="1"/>
        <v>4215</v>
      </c>
      <c r="K23" s="15">
        <v>1500</v>
      </c>
      <c r="L23" s="15">
        <f t="shared" si="2"/>
        <v>5715</v>
      </c>
      <c r="M23" s="30" t="s">
        <v>75</v>
      </c>
      <c r="N23" s="99">
        <v>82</v>
      </c>
      <c r="O23" s="50">
        <f t="shared" si="3"/>
        <v>468630</v>
      </c>
      <c r="P23" s="50">
        <f t="shared" si="4"/>
        <v>345630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7794</v>
      </c>
      <c r="E24" s="29"/>
      <c r="F24" s="29"/>
      <c r="G24" s="15">
        <f t="shared" si="0"/>
        <v>7794</v>
      </c>
      <c r="H24" s="15"/>
      <c r="I24" s="16"/>
      <c r="J24" s="15">
        <f t="shared" si="1"/>
        <v>7794</v>
      </c>
      <c r="K24" s="15">
        <v>2713</v>
      </c>
      <c r="L24" s="15">
        <f t="shared" si="2"/>
        <v>10507</v>
      </c>
      <c r="M24" s="30"/>
      <c r="N24" s="99">
        <v>22.1</v>
      </c>
      <c r="O24" s="50">
        <f t="shared" si="3"/>
        <v>232204.7</v>
      </c>
      <c r="P24" s="50">
        <f t="shared" si="4"/>
        <v>172247.40000000002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155</v>
      </c>
      <c r="D26" s="15">
        <v>1099</v>
      </c>
      <c r="E26" s="15"/>
      <c r="F26" s="15"/>
      <c r="G26" s="15">
        <f t="shared" si="0"/>
        <v>1099</v>
      </c>
      <c r="H26" s="15">
        <f>173+21</f>
        <v>194</v>
      </c>
      <c r="I26" s="16"/>
      <c r="J26" s="76">
        <f t="shared" si="1"/>
        <v>905</v>
      </c>
      <c r="K26" s="76">
        <v>46</v>
      </c>
      <c r="L26" s="76">
        <f t="shared" si="2"/>
        <v>951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9990</v>
      </c>
      <c r="E31" s="15"/>
      <c r="F31" s="15"/>
      <c r="G31" s="15">
        <f t="shared" si="0"/>
        <v>9990</v>
      </c>
      <c r="H31" s="15"/>
      <c r="I31" s="16"/>
      <c r="J31" s="76">
        <f t="shared" si="1"/>
        <v>9990</v>
      </c>
      <c r="K31" s="76">
        <v>0</v>
      </c>
      <c r="L31" s="76">
        <f t="shared" si="2"/>
        <v>9990</v>
      </c>
      <c r="M31" s="78"/>
      <c r="N31" s="99">
        <v>60</v>
      </c>
      <c r="O31" s="50">
        <f t="shared" si="3"/>
        <v>599400</v>
      </c>
      <c r="P31" s="50">
        <f t="shared" si="4"/>
        <v>599400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1010</v>
      </c>
      <c r="E32" s="15"/>
      <c r="F32" s="15"/>
      <c r="G32" s="15">
        <f t="shared" si="0"/>
        <v>1010</v>
      </c>
      <c r="H32" s="15"/>
      <c r="I32" s="16"/>
      <c r="J32" s="76">
        <f t="shared" si="1"/>
        <v>1010</v>
      </c>
      <c r="K32" s="76"/>
      <c r="L32" s="76">
        <f t="shared" si="2"/>
        <v>1010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13374</v>
      </c>
      <c r="E33" s="15"/>
      <c r="F33" s="15"/>
      <c r="G33" s="15">
        <f t="shared" si="0"/>
        <v>13374</v>
      </c>
      <c r="H33" s="15">
        <v>20</v>
      </c>
      <c r="I33" s="16"/>
      <c r="J33" s="76">
        <f t="shared" si="1"/>
        <v>13354</v>
      </c>
      <c r="K33" s="76">
        <v>206</v>
      </c>
      <c r="L33" s="76">
        <f t="shared" si="2"/>
        <v>13560</v>
      </c>
      <c r="M33" s="30"/>
      <c r="N33" s="99">
        <v>12.49</v>
      </c>
      <c r="O33" s="50">
        <f t="shared" si="3"/>
        <v>169364.4</v>
      </c>
      <c r="P33" s="50">
        <f t="shared" si="4"/>
        <v>166791.46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159</v>
      </c>
      <c r="E34" s="15"/>
      <c r="F34" s="15"/>
      <c r="G34" s="15">
        <f t="shared" si="0"/>
        <v>159</v>
      </c>
      <c r="H34" s="15">
        <v>1</v>
      </c>
      <c r="I34" s="16"/>
      <c r="J34" s="76">
        <f t="shared" si="1"/>
        <v>158</v>
      </c>
      <c r="K34" s="76">
        <v>-50</v>
      </c>
      <c r="L34" s="76">
        <f t="shared" si="2"/>
        <v>108</v>
      </c>
      <c r="M34" s="77"/>
      <c r="N34" s="99">
        <v>435</v>
      </c>
      <c r="O34" s="50">
        <f t="shared" si="3"/>
        <v>46980</v>
      </c>
      <c r="P34" s="50">
        <f t="shared" si="4"/>
        <v>68730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104</v>
      </c>
      <c r="E35" s="15"/>
      <c r="F35" s="15"/>
      <c r="G35" s="15">
        <f t="shared" si="0"/>
        <v>104</v>
      </c>
      <c r="H35" s="15"/>
      <c r="I35" s="16"/>
      <c r="J35" s="76">
        <f>G35-H35-I35</f>
        <v>104</v>
      </c>
      <c r="K35" s="76">
        <v>-50</v>
      </c>
      <c r="L35" s="76">
        <f t="shared" si="2"/>
        <v>54</v>
      </c>
      <c r="M35" s="84"/>
      <c r="N35" s="99">
        <v>730</v>
      </c>
      <c r="O35" s="50">
        <f t="shared" si="3"/>
        <v>39420</v>
      </c>
      <c r="P35" s="50">
        <f t="shared" si="4"/>
        <v>75920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328</v>
      </c>
      <c r="E36" s="15"/>
      <c r="F36" s="15"/>
      <c r="G36" s="15">
        <f t="shared" si="0"/>
        <v>328</v>
      </c>
      <c r="H36" s="16">
        <v>1</v>
      </c>
      <c r="I36" s="16"/>
      <c r="J36" s="76">
        <f t="shared" si="1"/>
        <v>327</v>
      </c>
      <c r="K36" s="76">
        <v>-125</v>
      </c>
      <c r="L36" s="76">
        <f t="shared" si="2"/>
        <v>202</v>
      </c>
      <c r="M36" s="84"/>
      <c r="N36" s="99">
        <v>155</v>
      </c>
      <c r="O36" s="50">
        <f t="shared" si="3"/>
        <v>31310</v>
      </c>
      <c r="P36" s="50">
        <f t="shared" si="4"/>
        <v>50685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1046</v>
      </c>
      <c r="E37" s="15"/>
      <c r="F37" s="15"/>
      <c r="G37" s="15">
        <f t="shared" si="0"/>
        <v>1046</v>
      </c>
      <c r="H37" s="16"/>
      <c r="I37" s="16"/>
      <c r="J37" s="76">
        <f t="shared" si="1"/>
        <v>1046</v>
      </c>
      <c r="K37" s="76">
        <v>0</v>
      </c>
      <c r="L37" s="76">
        <f t="shared" si="2"/>
        <v>1046</v>
      </c>
      <c r="M37" s="84"/>
      <c r="N37" s="99">
        <v>125</v>
      </c>
      <c r="O37" s="50">
        <f t="shared" si="3"/>
        <v>130750</v>
      </c>
      <c r="P37" s="50">
        <f t="shared" si="4"/>
        <v>130750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280</v>
      </c>
      <c r="E39" s="15"/>
      <c r="F39" s="15"/>
      <c r="G39" s="15">
        <f t="shared" si="0"/>
        <v>280</v>
      </c>
      <c r="H39" s="16"/>
      <c r="I39" s="16"/>
      <c r="J39" s="76">
        <f t="shared" si="1"/>
        <v>280</v>
      </c>
      <c r="K39" s="76">
        <v>-70</v>
      </c>
      <c r="L39" s="76">
        <f t="shared" si="2"/>
        <v>210</v>
      </c>
      <c r="M39" s="84"/>
      <c r="N39" s="99">
        <v>975</v>
      </c>
      <c r="O39" s="50">
        <f t="shared" si="3"/>
        <v>204750</v>
      </c>
      <c r="P39" s="50">
        <f t="shared" si="4"/>
        <v>273000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660</v>
      </c>
      <c r="E41" s="15"/>
      <c r="F41" s="15"/>
      <c r="G41" s="15">
        <f t="shared" si="0"/>
        <v>660</v>
      </c>
      <c r="H41" s="16">
        <v>6</v>
      </c>
      <c r="I41" s="16"/>
      <c r="J41" s="76">
        <f t="shared" si="1"/>
        <v>654</v>
      </c>
      <c r="K41" s="76">
        <v>500</v>
      </c>
      <c r="L41" s="76">
        <f t="shared" si="2"/>
        <v>1154</v>
      </c>
      <c r="M41" s="84"/>
      <c r="N41" s="99">
        <v>125</v>
      </c>
      <c r="O41" s="50">
        <f t="shared" si="3"/>
        <v>144250</v>
      </c>
      <c r="P41" s="50">
        <f t="shared" si="4"/>
        <v>81750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10552</v>
      </c>
      <c r="E44" s="15"/>
      <c r="F44" s="15"/>
      <c r="G44" s="15">
        <f t="shared" si="0"/>
        <v>10552</v>
      </c>
      <c r="H44" s="16"/>
      <c r="I44" s="16"/>
      <c r="J44" s="76">
        <f t="shared" si="1"/>
        <v>10552</v>
      </c>
      <c r="K44" s="76">
        <v>2200</v>
      </c>
      <c r="L44" s="76">
        <f t="shared" si="2"/>
        <v>12752</v>
      </c>
      <c r="M44" s="84"/>
      <c r="N44" s="99">
        <v>80</v>
      </c>
      <c r="O44" s="50">
        <f t="shared" si="3"/>
        <v>1020160</v>
      </c>
      <c r="P44" s="50">
        <f t="shared" si="4"/>
        <v>844160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15770</v>
      </c>
      <c r="E46" s="15"/>
      <c r="F46" s="15"/>
      <c r="G46" s="15">
        <f t="shared" si="0"/>
        <v>15770</v>
      </c>
      <c r="H46" s="16">
        <v>36</v>
      </c>
      <c r="I46" s="16"/>
      <c r="J46" s="76">
        <f t="shared" si="1"/>
        <v>15734</v>
      </c>
      <c r="K46" s="76">
        <v>-180</v>
      </c>
      <c r="L46" s="76">
        <f t="shared" si="2"/>
        <v>15554</v>
      </c>
      <c r="M46" s="84"/>
      <c r="N46" s="99">
        <v>275</v>
      </c>
      <c r="O46" s="50">
        <f t="shared" si="3"/>
        <v>4277350</v>
      </c>
      <c r="P46" s="50">
        <f t="shared" si="4"/>
        <v>4326850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948</v>
      </c>
      <c r="E47" s="15"/>
      <c r="F47" s="15"/>
      <c r="G47" s="15">
        <f t="shared" si="0"/>
        <v>948</v>
      </c>
      <c r="H47" s="15">
        <v>3</v>
      </c>
      <c r="I47" s="16"/>
      <c r="J47" s="76">
        <f t="shared" si="1"/>
        <v>945</v>
      </c>
      <c r="K47" s="76">
        <v>0</v>
      </c>
      <c r="L47" s="76">
        <f t="shared" si="2"/>
        <v>945</v>
      </c>
      <c r="M47" s="84"/>
      <c r="N47" s="99">
        <v>250</v>
      </c>
      <c r="O47" s="50">
        <f t="shared" si="3"/>
        <v>236250</v>
      </c>
      <c r="P47" s="50">
        <f t="shared" si="4"/>
        <v>236250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302</v>
      </c>
      <c r="E49" s="15"/>
      <c r="F49" s="15"/>
      <c r="G49" s="15">
        <f t="shared" si="0"/>
        <v>302</v>
      </c>
      <c r="H49" s="15"/>
      <c r="I49" s="16"/>
      <c r="J49" s="76">
        <f t="shared" si="1"/>
        <v>302</v>
      </c>
      <c r="K49" s="76">
        <v>45</v>
      </c>
      <c r="L49" s="76">
        <f t="shared" si="2"/>
        <v>347</v>
      </c>
      <c r="M49" s="84"/>
      <c r="N49" s="99">
        <v>800</v>
      </c>
      <c r="O49" s="50">
        <f t="shared" si="3"/>
        <v>277600</v>
      </c>
      <c r="P49" s="50">
        <f t="shared" si="4"/>
        <v>241600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75</v>
      </c>
      <c r="E53" s="15"/>
      <c r="F53" s="15"/>
      <c r="G53" s="15">
        <f t="shared" si="0"/>
        <v>75</v>
      </c>
      <c r="H53" s="15">
        <v>1</v>
      </c>
      <c r="I53" s="20"/>
      <c r="J53" s="76">
        <f t="shared" si="1"/>
        <v>74</v>
      </c>
      <c r="K53" s="76">
        <v>0</v>
      </c>
      <c r="L53" s="76">
        <f t="shared" si="2"/>
        <v>74</v>
      </c>
      <c r="M53" s="84"/>
      <c r="N53" s="99">
        <v>1600</v>
      </c>
      <c r="O53" s="50">
        <f t="shared" si="3"/>
        <v>118400</v>
      </c>
      <c r="P53" s="50">
        <f t="shared" si="4"/>
        <v>118400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726</v>
      </c>
      <c r="E54" s="15"/>
      <c r="F54" s="15"/>
      <c r="G54" s="15">
        <f t="shared" si="0"/>
        <v>726</v>
      </c>
      <c r="H54" s="15"/>
      <c r="I54" s="16"/>
      <c r="J54" s="76">
        <f t="shared" si="1"/>
        <v>726</v>
      </c>
      <c r="K54" s="76">
        <v>-350</v>
      </c>
      <c r="L54" s="76">
        <f t="shared" si="2"/>
        <v>376</v>
      </c>
      <c r="M54" s="84"/>
      <c r="N54" s="99">
        <v>375</v>
      </c>
      <c r="O54" s="50">
        <f t="shared" si="3"/>
        <v>141000</v>
      </c>
      <c r="P54" s="50">
        <f t="shared" si="4"/>
        <v>272250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120</v>
      </c>
      <c r="E55" s="15"/>
      <c r="F55" s="15"/>
      <c r="G55" s="15">
        <f t="shared" si="0"/>
        <v>120</v>
      </c>
      <c r="H55" s="15"/>
      <c r="I55" s="21"/>
      <c r="J55" s="76">
        <f t="shared" si="1"/>
        <v>120</v>
      </c>
      <c r="K55" s="76">
        <v>9</v>
      </c>
      <c r="L55" s="76">
        <f t="shared" si="2"/>
        <v>129</v>
      </c>
      <c r="M55" s="30"/>
      <c r="N55" s="99">
        <v>425</v>
      </c>
      <c r="O55" s="50">
        <f t="shared" si="3"/>
        <v>54825</v>
      </c>
      <c r="P55" s="50">
        <f t="shared" si="4"/>
        <v>51000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438</v>
      </c>
      <c r="E56" s="15"/>
      <c r="F56" s="15"/>
      <c r="G56" s="15">
        <f t="shared" si="0"/>
        <v>438</v>
      </c>
      <c r="H56" s="15">
        <v>8</v>
      </c>
      <c r="I56" s="22"/>
      <c r="J56" s="76">
        <f t="shared" si="1"/>
        <v>430</v>
      </c>
      <c r="K56" s="76">
        <v>-200</v>
      </c>
      <c r="L56" s="76">
        <f t="shared" si="2"/>
        <v>230</v>
      </c>
      <c r="M56" s="84"/>
      <c r="N56" s="99">
        <v>390</v>
      </c>
      <c r="O56" s="50">
        <f t="shared" si="3"/>
        <v>89700</v>
      </c>
      <c r="P56" s="50">
        <f t="shared" si="4"/>
        <v>167700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-79</v>
      </c>
      <c r="E58" s="15"/>
      <c r="F58" s="15"/>
      <c r="G58" s="15">
        <f t="shared" si="0"/>
        <v>-79</v>
      </c>
      <c r="H58" s="15"/>
      <c r="I58" s="16"/>
      <c r="J58" s="76">
        <f t="shared" si="1"/>
        <v>-79</v>
      </c>
      <c r="K58" s="76">
        <v>50</v>
      </c>
      <c r="L58" s="76">
        <f t="shared" si="2"/>
        <v>-29</v>
      </c>
      <c r="M58" s="30"/>
      <c r="N58" s="99">
        <v>132</v>
      </c>
      <c r="O58" s="50">
        <f t="shared" si="3"/>
        <v>-3828</v>
      </c>
      <c r="P58" s="50">
        <f t="shared" si="4"/>
        <v>-10428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368</v>
      </c>
      <c r="E59" s="15"/>
      <c r="F59" s="15"/>
      <c r="G59" s="15">
        <f t="shared" si="0"/>
        <v>368</v>
      </c>
      <c r="H59" s="15">
        <v>5</v>
      </c>
      <c r="I59" s="16"/>
      <c r="J59" s="76">
        <f t="shared" si="1"/>
        <v>363</v>
      </c>
      <c r="K59" s="76">
        <v>0</v>
      </c>
      <c r="L59" s="76">
        <f t="shared" si="2"/>
        <v>363</v>
      </c>
      <c r="M59" s="84"/>
      <c r="N59" s="99">
        <v>570</v>
      </c>
      <c r="O59" s="50">
        <f t="shared" si="3"/>
        <v>206910</v>
      </c>
      <c r="P59" s="50">
        <f t="shared" si="4"/>
        <v>206910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5451</v>
      </c>
      <c r="E62" s="15"/>
      <c r="F62" s="15"/>
      <c r="G62" s="15">
        <f t="shared" si="0"/>
        <v>5451</v>
      </c>
      <c r="H62" s="15">
        <v>16</v>
      </c>
      <c r="I62" s="16"/>
      <c r="J62" s="76">
        <f t="shared" si="1"/>
        <v>5435</v>
      </c>
      <c r="K62" s="76">
        <v>187</v>
      </c>
      <c r="L62" s="76">
        <f t="shared" si="2"/>
        <v>5622</v>
      </c>
      <c r="M62" s="30"/>
      <c r="N62" s="99">
        <v>87.38</v>
      </c>
      <c r="O62" s="50">
        <f t="shared" si="3"/>
        <v>491250.36</v>
      </c>
      <c r="P62" s="50">
        <f t="shared" si="4"/>
        <v>474910.3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2</v>
      </c>
      <c r="E63" s="15"/>
      <c r="F63" s="15"/>
      <c r="G63" s="15">
        <f t="shared" si="0"/>
        <v>2</v>
      </c>
      <c r="H63" s="15"/>
      <c r="I63" s="16"/>
      <c r="J63" s="76">
        <f t="shared" si="1"/>
        <v>2</v>
      </c>
      <c r="K63" s="76">
        <v>300</v>
      </c>
      <c r="L63" s="76">
        <f t="shared" si="2"/>
        <v>302</v>
      </c>
      <c r="M63" s="84"/>
      <c r="N63" s="99">
        <v>290</v>
      </c>
      <c r="O63" s="50">
        <f t="shared" si="3"/>
        <v>87580</v>
      </c>
      <c r="P63" s="50">
        <f t="shared" si="4"/>
        <v>580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-6</v>
      </c>
      <c r="E64" s="23"/>
      <c r="F64" s="23"/>
      <c r="G64" s="23">
        <f t="shared" si="0"/>
        <v>-6</v>
      </c>
      <c r="H64" s="23"/>
      <c r="I64" s="23"/>
      <c r="J64" s="76">
        <f t="shared" si="1"/>
        <v>-6</v>
      </c>
      <c r="K64" s="79">
        <v>100</v>
      </c>
      <c r="L64" s="76">
        <f t="shared" si="2"/>
        <v>94</v>
      </c>
      <c r="M64" s="30"/>
      <c r="N64" s="99">
        <v>70</v>
      </c>
      <c r="O64" s="50">
        <f t="shared" si="3"/>
        <v>6580</v>
      </c>
      <c r="P64" s="50">
        <f t="shared" si="4"/>
        <v>-420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-46</v>
      </c>
      <c r="E65" s="24"/>
      <c r="F65" s="24"/>
      <c r="G65" s="16">
        <f t="shared" si="0"/>
        <v>-46</v>
      </c>
      <c r="H65" s="24">
        <v>3</v>
      </c>
      <c r="I65" s="24"/>
      <c r="J65" s="76">
        <f t="shared" si="1"/>
        <v>-49</v>
      </c>
      <c r="K65" s="80">
        <v>15</v>
      </c>
      <c r="L65" s="76">
        <f t="shared" si="2"/>
        <v>-34</v>
      </c>
      <c r="M65" s="86"/>
      <c r="N65" s="99">
        <v>240</v>
      </c>
      <c r="O65" s="50">
        <f t="shared" si="3"/>
        <v>-8160</v>
      </c>
      <c r="P65" s="50">
        <f t="shared" si="4"/>
        <v>-11760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310</v>
      </c>
      <c r="E66" s="24"/>
      <c r="F66" s="24"/>
      <c r="G66" s="16">
        <f t="shared" si="0"/>
        <v>310</v>
      </c>
      <c r="H66" s="24">
        <v>1</v>
      </c>
      <c r="I66" s="24"/>
      <c r="J66" s="76">
        <f t="shared" si="1"/>
        <v>309</v>
      </c>
      <c r="K66" s="81">
        <v>0</v>
      </c>
      <c r="L66" s="81">
        <f t="shared" si="2"/>
        <v>309</v>
      </c>
      <c r="M66" s="86"/>
      <c r="N66" s="99">
        <v>1100</v>
      </c>
      <c r="O66" s="50">
        <f t="shared" si="3"/>
        <v>339900</v>
      </c>
      <c r="P66" s="50">
        <f t="shared" si="4"/>
        <v>339900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-2972</v>
      </c>
      <c r="E67" s="24"/>
      <c r="F67" s="24"/>
      <c r="G67" s="16">
        <f t="shared" si="0"/>
        <v>-2972</v>
      </c>
      <c r="H67" s="24">
        <v>83</v>
      </c>
      <c r="I67" s="24"/>
      <c r="J67" s="76">
        <f t="shared" si="1"/>
        <v>-3055</v>
      </c>
      <c r="K67" s="80">
        <v>2800</v>
      </c>
      <c r="L67" s="76">
        <f t="shared" si="2"/>
        <v>-255</v>
      </c>
      <c r="M67" s="84"/>
      <c r="N67" s="99">
        <v>53</v>
      </c>
      <c r="O67" s="50">
        <f t="shared" si="3"/>
        <v>-13515</v>
      </c>
      <c r="P67" s="50">
        <f t="shared" si="4"/>
        <v>-161915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157</v>
      </c>
      <c r="D69" s="16">
        <v>0</v>
      </c>
      <c r="E69" s="24">
        <v>150</v>
      </c>
      <c r="F69" s="24"/>
      <c r="G69" s="16">
        <f t="shared" si="0"/>
        <v>150</v>
      </c>
      <c r="H69" s="24"/>
      <c r="I69" s="24"/>
      <c r="J69" s="76">
        <f t="shared" si="1"/>
        <v>150</v>
      </c>
      <c r="K69" s="80">
        <v>0</v>
      </c>
      <c r="L69" s="76">
        <f t="shared" si="2"/>
        <v>150</v>
      </c>
      <c r="M69" s="84"/>
      <c r="N69" s="99">
        <v>1700</v>
      </c>
      <c r="O69" s="50">
        <f t="shared" si="3"/>
        <v>255000</v>
      </c>
      <c r="P69" s="50">
        <f t="shared" si="4"/>
        <v>255000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425</v>
      </c>
      <c r="E70" s="24"/>
      <c r="F70" s="24"/>
      <c r="G70" s="16">
        <f t="shared" si="0"/>
        <v>425</v>
      </c>
      <c r="H70" s="24">
        <v>1</v>
      </c>
      <c r="I70" s="24"/>
      <c r="J70" s="76">
        <f t="shared" si="1"/>
        <v>424</v>
      </c>
      <c r="K70" s="80">
        <v>-153</v>
      </c>
      <c r="L70" s="76">
        <f t="shared" si="2"/>
        <v>271</v>
      </c>
      <c r="M70" s="86"/>
      <c r="N70" s="99">
        <v>260</v>
      </c>
      <c r="O70" s="50">
        <f t="shared" si="3"/>
        <v>70460</v>
      </c>
      <c r="P70" s="50">
        <f t="shared" si="4"/>
        <v>110240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3166</v>
      </c>
      <c r="E72" s="24"/>
      <c r="F72" s="24"/>
      <c r="G72" s="16">
        <f t="shared" si="0"/>
        <v>3166</v>
      </c>
      <c r="H72" s="24">
        <v>8</v>
      </c>
      <c r="I72" s="24"/>
      <c r="J72" s="76">
        <f t="shared" si="5"/>
        <v>3158</v>
      </c>
      <c r="K72" s="80">
        <v>-200</v>
      </c>
      <c r="L72" s="76">
        <f t="shared" si="2"/>
        <v>2958</v>
      </c>
      <c r="M72" s="30"/>
      <c r="N72" s="99">
        <v>39</v>
      </c>
      <c r="O72" s="50">
        <f t="shared" si="6"/>
        <v>115362</v>
      </c>
      <c r="P72" s="50">
        <f t="shared" si="7"/>
        <v>123162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17822</v>
      </c>
      <c r="E73" s="24"/>
      <c r="F73" s="24"/>
      <c r="G73" s="16">
        <f t="shared" si="0"/>
        <v>17822</v>
      </c>
      <c r="H73" s="24">
        <v>17</v>
      </c>
      <c r="I73" s="42"/>
      <c r="J73" s="76">
        <f t="shared" si="5"/>
        <v>17805</v>
      </c>
      <c r="K73" s="80">
        <v>0</v>
      </c>
      <c r="L73" s="76">
        <f t="shared" si="2"/>
        <v>17805</v>
      </c>
      <c r="M73" s="84"/>
      <c r="N73" s="99">
        <v>83</v>
      </c>
      <c r="O73" s="50">
        <f t="shared" si="6"/>
        <v>1477815</v>
      </c>
      <c r="P73" s="50">
        <f t="shared" si="7"/>
        <v>1477815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2436</v>
      </c>
      <c r="E75" s="24"/>
      <c r="F75" s="24"/>
      <c r="G75" s="16">
        <f t="shared" si="0"/>
        <v>2436</v>
      </c>
      <c r="H75" s="24"/>
      <c r="I75" s="24"/>
      <c r="J75" s="76">
        <f t="shared" si="5"/>
        <v>2436</v>
      </c>
      <c r="K75" s="80">
        <v>273</v>
      </c>
      <c r="L75" s="76">
        <f t="shared" si="2"/>
        <v>2709</v>
      </c>
      <c r="M75" s="86"/>
      <c r="N75" s="99">
        <v>16</v>
      </c>
      <c r="O75" s="50">
        <f t="shared" si="6"/>
        <v>43344</v>
      </c>
      <c r="P75" s="50">
        <f t="shared" si="7"/>
        <v>38976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309</v>
      </c>
      <c r="E76" s="24"/>
      <c r="F76" s="24"/>
      <c r="G76" s="16">
        <f t="shared" si="0"/>
        <v>309</v>
      </c>
      <c r="H76" s="24">
        <v>3</v>
      </c>
      <c r="I76" s="24"/>
      <c r="J76" s="76">
        <f t="shared" si="5"/>
        <v>306</v>
      </c>
      <c r="K76" s="80">
        <v>-250</v>
      </c>
      <c r="L76" s="76">
        <f t="shared" si="2"/>
        <v>56</v>
      </c>
      <c r="M76" s="30"/>
      <c r="N76" s="99">
        <v>400</v>
      </c>
      <c r="O76" s="50">
        <f t="shared" si="6"/>
        <v>22400</v>
      </c>
      <c r="P76" s="50">
        <f t="shared" si="7"/>
        <v>122400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310</v>
      </c>
      <c r="E78" s="24"/>
      <c r="F78" s="24"/>
      <c r="G78" s="16">
        <f t="shared" si="0"/>
        <v>310</v>
      </c>
      <c r="H78" s="24">
        <v>2</v>
      </c>
      <c r="I78" s="24"/>
      <c r="J78" s="76">
        <f t="shared" si="5"/>
        <v>308</v>
      </c>
      <c r="K78" s="80">
        <v>100</v>
      </c>
      <c r="L78" s="76">
        <f t="shared" si="2"/>
        <v>408</v>
      </c>
      <c r="M78" s="86"/>
      <c r="N78" s="99">
        <v>900</v>
      </c>
      <c r="O78" s="50">
        <f t="shared" si="6"/>
        <v>367200</v>
      </c>
      <c r="P78" s="50">
        <f t="shared" si="7"/>
        <v>277200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5013</v>
      </c>
      <c r="E83" s="98"/>
      <c r="F83" s="24"/>
      <c r="G83" s="16">
        <f t="shared" si="8"/>
        <v>5013</v>
      </c>
      <c r="H83" s="24"/>
      <c r="I83" s="95"/>
      <c r="J83" s="76">
        <f t="shared" si="5"/>
        <v>5013</v>
      </c>
      <c r="K83" s="81">
        <v>0</v>
      </c>
      <c r="L83" s="76">
        <f t="shared" si="2"/>
        <v>5013</v>
      </c>
      <c r="M83" s="85"/>
      <c r="N83" s="100">
        <v>64</v>
      </c>
      <c r="O83" s="50">
        <f t="shared" si="6"/>
        <v>320832</v>
      </c>
      <c r="P83" s="50">
        <f t="shared" si="7"/>
        <v>320832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37</v>
      </c>
      <c r="E84" s="89"/>
      <c r="F84" s="12"/>
      <c r="G84" s="45">
        <f t="shared" si="8"/>
        <v>37</v>
      </c>
      <c r="H84" s="12"/>
      <c r="I84" s="94"/>
      <c r="J84" s="82">
        <f t="shared" ref="J84:J97" si="9">D84+E84-H84-I84</f>
        <v>37</v>
      </c>
      <c r="K84" s="96">
        <v>0</v>
      </c>
      <c r="L84" s="82">
        <f t="shared" si="2"/>
        <v>37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-19</v>
      </c>
      <c r="E85" s="90">
        <v>300</v>
      </c>
      <c r="F85" s="11"/>
      <c r="G85" s="16">
        <f t="shared" si="8"/>
        <v>281</v>
      </c>
      <c r="H85" s="88">
        <v>4</v>
      </c>
      <c r="I85" s="11"/>
      <c r="J85" s="76">
        <f t="shared" si="9"/>
        <v>277</v>
      </c>
      <c r="K85" s="97">
        <v>500</v>
      </c>
      <c r="L85" s="76">
        <f t="shared" si="2"/>
        <v>777</v>
      </c>
      <c r="M85" s="86"/>
      <c r="N85" s="99">
        <v>350</v>
      </c>
      <c r="O85" s="50">
        <f t="shared" si="6"/>
        <v>271950</v>
      </c>
      <c r="P85" s="50">
        <f t="shared" si="7"/>
        <v>96950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401</v>
      </c>
      <c r="E86" s="90"/>
      <c r="F86" s="11"/>
      <c r="G86" s="16">
        <f t="shared" si="8"/>
        <v>401</v>
      </c>
      <c r="H86" s="88">
        <v>10</v>
      </c>
      <c r="I86" s="11"/>
      <c r="J86" s="76">
        <f t="shared" si="9"/>
        <v>391</v>
      </c>
      <c r="K86" s="97">
        <v>300</v>
      </c>
      <c r="L86" s="76">
        <f t="shared" si="2"/>
        <v>691</v>
      </c>
      <c r="M86" s="84"/>
      <c r="N86" s="99">
        <v>165</v>
      </c>
      <c r="O86" s="50">
        <f t="shared" si="6"/>
        <v>114015</v>
      </c>
      <c r="P86" s="50">
        <f t="shared" si="7"/>
        <v>64515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260</v>
      </c>
      <c r="E87" s="11"/>
      <c r="F87" s="11"/>
      <c r="G87" s="16">
        <f t="shared" si="8"/>
        <v>260</v>
      </c>
      <c r="H87" s="88"/>
      <c r="I87" s="11"/>
      <c r="J87" s="76">
        <f t="shared" si="9"/>
        <v>260</v>
      </c>
      <c r="K87" s="97">
        <v>-1</v>
      </c>
      <c r="L87" s="76">
        <f t="shared" si="2"/>
        <v>259</v>
      </c>
      <c r="M87" s="86"/>
      <c r="N87" s="99">
        <v>630</v>
      </c>
      <c r="O87" s="50">
        <f t="shared" si="6"/>
        <v>163170</v>
      </c>
      <c r="P87" s="50">
        <f t="shared" si="7"/>
        <v>163800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16</v>
      </c>
      <c r="E88" s="11"/>
      <c r="F88" s="11"/>
      <c r="G88" s="16">
        <f t="shared" si="8"/>
        <v>16</v>
      </c>
      <c r="H88" s="88"/>
      <c r="I88" s="11"/>
      <c r="J88" s="76">
        <f t="shared" si="9"/>
        <v>16</v>
      </c>
      <c r="K88" s="97">
        <v>0</v>
      </c>
      <c r="L88" s="76">
        <f t="shared" ref="L88:L97" si="10">J88+K88</f>
        <v>16</v>
      </c>
      <c r="M88" s="86"/>
      <c r="N88" s="99">
        <v>285</v>
      </c>
      <c r="O88" s="50">
        <f t="shared" si="6"/>
        <v>4560</v>
      </c>
      <c r="P88" s="50">
        <f t="shared" si="7"/>
        <v>4560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538</v>
      </c>
      <c r="E89" s="88"/>
      <c r="F89" s="11"/>
      <c r="G89" s="16">
        <f t="shared" si="8"/>
        <v>538</v>
      </c>
      <c r="H89" s="88">
        <v>500</v>
      </c>
      <c r="I89" s="11"/>
      <c r="J89" s="76">
        <f t="shared" si="9"/>
        <v>38</v>
      </c>
      <c r="K89" s="97">
        <v>0</v>
      </c>
      <c r="L89" s="76">
        <f t="shared" si="10"/>
        <v>38</v>
      </c>
      <c r="M89" s="86"/>
      <c r="N89" s="99">
        <v>205</v>
      </c>
      <c r="O89" s="50">
        <f t="shared" si="6"/>
        <v>7790</v>
      </c>
      <c r="P89" s="50">
        <f t="shared" si="7"/>
        <v>7790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356</v>
      </c>
      <c r="E92" s="88"/>
      <c r="F92" s="11"/>
      <c r="G92" s="16">
        <f t="shared" si="8"/>
        <v>356</v>
      </c>
      <c r="H92" s="88"/>
      <c r="I92" s="11"/>
      <c r="J92" s="83">
        <f t="shared" si="9"/>
        <v>356</v>
      </c>
      <c r="K92" s="97">
        <v>0</v>
      </c>
      <c r="L92" s="76">
        <f t="shared" si="10"/>
        <v>356</v>
      </c>
      <c r="M92" s="86"/>
      <c r="N92" s="99">
        <v>113</v>
      </c>
      <c r="O92" s="50">
        <f t="shared" si="6"/>
        <v>40228</v>
      </c>
      <c r="P92" s="50">
        <f t="shared" si="7"/>
        <v>40228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231</v>
      </c>
      <c r="E94" s="88"/>
      <c r="F94" s="11"/>
      <c r="G94" s="16">
        <f t="shared" si="8"/>
        <v>231</v>
      </c>
      <c r="H94" s="88">
        <v>2</v>
      </c>
      <c r="I94" s="11"/>
      <c r="J94" s="83">
        <f t="shared" si="9"/>
        <v>229</v>
      </c>
      <c r="K94" s="97">
        <v>-50</v>
      </c>
      <c r="L94" s="76">
        <f t="shared" si="10"/>
        <v>179</v>
      </c>
      <c r="M94" s="86"/>
      <c r="N94" s="99">
        <v>950</v>
      </c>
      <c r="O94" s="50">
        <f t="shared" si="6"/>
        <v>170050</v>
      </c>
      <c r="P94" s="50">
        <f t="shared" si="7"/>
        <v>217550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1398568.2549999999</v>
      </c>
      <c r="E98" s="27">
        <f t="shared" ref="E98:L98" si="11">SUM(E6:E97)</f>
        <v>47615</v>
      </c>
      <c r="F98" s="27">
        <f t="shared" si="11"/>
        <v>0</v>
      </c>
      <c r="G98" s="27">
        <f t="shared" si="11"/>
        <v>1446183.2549999999</v>
      </c>
      <c r="H98" s="27">
        <f t="shared" si="11"/>
        <v>17922</v>
      </c>
      <c r="I98" s="27">
        <f t="shared" si="11"/>
        <v>0</v>
      </c>
      <c r="J98" s="27">
        <f t="shared" si="11"/>
        <v>1428261.2549999999</v>
      </c>
      <c r="K98" s="27">
        <f t="shared" si="11"/>
        <v>-575681</v>
      </c>
      <c r="L98" s="27">
        <f t="shared" si="11"/>
        <v>852580.25499999989</v>
      </c>
      <c r="M98" s="27">
        <f>SUM(M6:M96)</f>
        <v>0</v>
      </c>
      <c r="N98" s="51"/>
      <c r="O98" s="51">
        <f t="shared" ref="O98" si="12">SUM(O6:O97)</f>
        <v>31968813.079999998</v>
      </c>
      <c r="P98" s="51">
        <f>SUM(P6:P97)</f>
        <v>44137663.779999994</v>
      </c>
      <c r="Q98" s="57">
        <f>O98-P98</f>
        <v>-12168850.699999996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21" t="s">
        <v>115</v>
      </c>
      <c r="M100" s="121"/>
      <c r="O100" s="55" t="s">
        <v>110</v>
      </c>
      <c r="P100" s="54">
        <v>79909923</v>
      </c>
    </row>
    <row r="101" spans="1:22">
      <c r="P101" s="54">
        <f>P100-P98</f>
        <v>35772259.220000006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Q26" sqref="Q26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158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57021</v>
      </c>
      <c r="E6" s="15"/>
      <c r="F6" s="16"/>
      <c r="G6" s="15">
        <f>D6+E6-F6</f>
        <v>57021</v>
      </c>
      <c r="H6" s="15"/>
      <c r="I6" s="16"/>
      <c r="J6" s="15">
        <f>G6-H6-I6</f>
        <v>57021</v>
      </c>
      <c r="K6" s="15">
        <v>8000</v>
      </c>
      <c r="L6" s="15">
        <f>J6+K6</f>
        <v>65021</v>
      </c>
      <c r="M6" s="30" t="s">
        <v>75</v>
      </c>
      <c r="N6" s="99">
        <v>21.5</v>
      </c>
      <c r="O6" s="50">
        <f>L6*N6</f>
        <v>1397951.5</v>
      </c>
      <c r="P6" s="50">
        <f>J6*N6</f>
        <v>1225951.5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72571</v>
      </c>
      <c r="E7" s="15"/>
      <c r="F7" s="15"/>
      <c r="G7" s="15">
        <f t="shared" ref="G7:G80" si="0">D7+E7-F7</f>
        <v>72571</v>
      </c>
      <c r="H7" s="15"/>
      <c r="I7" s="15"/>
      <c r="J7" s="15">
        <f t="shared" ref="J7:J70" si="1">G7-H7-I7</f>
        <v>72571</v>
      </c>
      <c r="K7" s="15">
        <v>-5000</v>
      </c>
      <c r="L7" s="15">
        <f t="shared" ref="L7:L87" si="2">J7+K7</f>
        <v>67571</v>
      </c>
      <c r="M7" s="30"/>
      <c r="N7" s="99">
        <v>38</v>
      </c>
      <c r="O7" s="50">
        <f t="shared" ref="O7:O70" si="3">L7*N7</f>
        <v>2567698</v>
      </c>
      <c r="P7" s="50">
        <f t="shared" ref="P7:P70" si="4">J7*N7</f>
        <v>2757698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92329</v>
      </c>
      <c r="E8" s="15"/>
      <c r="F8" s="15"/>
      <c r="G8" s="15">
        <f t="shared" si="0"/>
        <v>92329</v>
      </c>
      <c r="H8" s="15"/>
      <c r="I8" s="15"/>
      <c r="J8" s="15">
        <f t="shared" si="1"/>
        <v>92329</v>
      </c>
      <c r="K8" s="15">
        <v>0</v>
      </c>
      <c r="L8" s="15">
        <f t="shared" si="2"/>
        <v>92329</v>
      </c>
      <c r="M8" s="30"/>
      <c r="N8" s="99">
        <v>12</v>
      </c>
      <c r="O8" s="50">
        <f t="shared" si="3"/>
        <v>1107948</v>
      </c>
      <c r="P8" s="50">
        <f t="shared" si="4"/>
        <v>1107948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792830</v>
      </c>
      <c r="E10" s="15"/>
      <c r="F10" s="15"/>
      <c r="G10" s="15">
        <f t="shared" si="0"/>
        <v>792830</v>
      </c>
      <c r="H10" s="15"/>
      <c r="I10" s="15"/>
      <c r="J10" s="15">
        <f t="shared" si="1"/>
        <v>792830</v>
      </c>
      <c r="K10" s="15">
        <v>-607000</v>
      </c>
      <c r="L10" s="15">
        <f t="shared" si="2"/>
        <v>185830</v>
      </c>
      <c r="M10" s="30"/>
      <c r="N10" s="99">
        <v>23.09</v>
      </c>
      <c r="O10" s="50">
        <f t="shared" si="3"/>
        <v>4290814.7</v>
      </c>
      <c r="P10" s="50">
        <f t="shared" si="4"/>
        <v>18306444.699999999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3736</v>
      </c>
      <c r="E11" s="15"/>
      <c r="F11" s="15"/>
      <c r="G11" s="15">
        <f t="shared" si="0"/>
        <v>3736</v>
      </c>
      <c r="H11" s="15"/>
      <c r="I11" s="15"/>
      <c r="J11" s="15">
        <f t="shared" si="1"/>
        <v>3736</v>
      </c>
      <c r="K11" s="15">
        <v>2000</v>
      </c>
      <c r="L11" s="15">
        <f t="shared" si="2"/>
        <v>5736</v>
      </c>
      <c r="M11" s="30" t="s">
        <v>75</v>
      </c>
      <c r="N11" s="99">
        <v>16.5</v>
      </c>
      <c r="O11" s="50">
        <f t="shared" si="3"/>
        <v>94644</v>
      </c>
      <c r="P11" s="50">
        <f t="shared" si="4"/>
        <v>61644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1876</v>
      </c>
      <c r="E13" s="15"/>
      <c r="F13" s="15"/>
      <c r="G13" s="15">
        <f t="shared" si="0"/>
        <v>1876</v>
      </c>
      <c r="H13" s="15"/>
      <c r="I13" s="15"/>
      <c r="J13" s="15">
        <f t="shared" si="1"/>
        <v>1876</v>
      </c>
      <c r="K13" s="15">
        <v>5000</v>
      </c>
      <c r="L13" s="15">
        <f t="shared" si="2"/>
        <v>6876</v>
      </c>
      <c r="M13" s="30" t="s">
        <v>75</v>
      </c>
      <c r="N13" s="99">
        <v>27.5</v>
      </c>
      <c r="O13" s="50">
        <f t="shared" si="3"/>
        <v>189090</v>
      </c>
      <c r="P13" s="50">
        <f t="shared" si="4"/>
        <v>51590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10958</v>
      </c>
      <c r="E14" s="15"/>
      <c r="F14" s="15"/>
      <c r="G14" s="15">
        <f t="shared" si="0"/>
        <v>10958</v>
      </c>
      <c r="H14" s="15"/>
      <c r="I14" s="16"/>
      <c r="J14" s="15">
        <f t="shared" si="1"/>
        <v>10958</v>
      </c>
      <c r="K14" s="15">
        <v>-1000</v>
      </c>
      <c r="L14" s="15">
        <f t="shared" si="2"/>
        <v>9958</v>
      </c>
      <c r="M14" s="30"/>
      <c r="N14" s="99">
        <v>59</v>
      </c>
      <c r="O14" s="50">
        <f t="shared" si="3"/>
        <v>587522</v>
      </c>
      <c r="P14" s="50">
        <f t="shared" si="4"/>
        <v>646522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17419</v>
      </c>
      <c r="E16" s="29"/>
      <c r="F16" s="15"/>
      <c r="G16" s="15">
        <f t="shared" si="0"/>
        <v>17419</v>
      </c>
      <c r="H16" s="15"/>
      <c r="I16" s="16"/>
      <c r="J16" s="15">
        <f t="shared" si="1"/>
        <v>17419</v>
      </c>
      <c r="K16" s="15">
        <v>0</v>
      </c>
      <c r="L16" s="15">
        <f>J16+K16</f>
        <v>17419</v>
      </c>
      <c r="M16" s="30"/>
      <c r="N16" s="99">
        <v>43.25</v>
      </c>
      <c r="O16" s="50">
        <f t="shared" si="3"/>
        <v>753371.75</v>
      </c>
      <c r="P16" s="50">
        <f t="shared" si="4"/>
        <v>753371.75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14211.439999999999</v>
      </c>
      <c r="E17" s="15"/>
      <c r="F17" s="15"/>
      <c r="G17" s="15">
        <f t="shared" si="0"/>
        <v>14211.439999999999</v>
      </c>
      <c r="H17" s="15"/>
      <c r="I17" s="16"/>
      <c r="J17" s="15">
        <f t="shared" si="1"/>
        <v>14211.439999999999</v>
      </c>
      <c r="K17" s="15">
        <v>0</v>
      </c>
      <c r="L17" s="15">
        <f t="shared" si="2"/>
        <v>14211.439999999999</v>
      </c>
      <c r="M17" s="31"/>
      <c r="N17" s="99">
        <v>53</v>
      </c>
      <c r="O17" s="50">
        <f t="shared" si="3"/>
        <v>753206.32</v>
      </c>
      <c r="P17" s="50">
        <f t="shared" si="4"/>
        <v>753206.32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5520</v>
      </c>
      <c r="E19" s="15"/>
      <c r="F19" s="15"/>
      <c r="G19" s="15">
        <f t="shared" si="0"/>
        <v>5520</v>
      </c>
      <c r="H19" s="15"/>
      <c r="I19" s="16"/>
      <c r="J19" s="15">
        <f t="shared" si="1"/>
        <v>5520</v>
      </c>
      <c r="K19" s="15">
        <v>1000</v>
      </c>
      <c r="L19" s="15">
        <f t="shared" si="2"/>
        <v>6520</v>
      </c>
      <c r="M19" s="30"/>
      <c r="N19" s="99">
        <v>22.8</v>
      </c>
      <c r="O19" s="50">
        <f t="shared" si="3"/>
        <v>148656</v>
      </c>
      <c r="P19" s="50">
        <f t="shared" si="4"/>
        <v>125856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19962</v>
      </c>
      <c r="E20" s="15"/>
      <c r="F20" s="15"/>
      <c r="G20" s="15">
        <f t="shared" si="0"/>
        <v>19962</v>
      </c>
      <c r="H20" s="15"/>
      <c r="I20" s="16"/>
      <c r="J20" s="15">
        <f t="shared" si="1"/>
        <v>19962</v>
      </c>
      <c r="K20" s="15">
        <v>0</v>
      </c>
      <c r="L20" s="15">
        <f t="shared" si="2"/>
        <v>19962</v>
      </c>
      <c r="M20" s="30" t="s">
        <v>75</v>
      </c>
      <c r="N20" s="99">
        <v>20</v>
      </c>
      <c r="O20" s="50">
        <f t="shared" si="3"/>
        <v>399240</v>
      </c>
      <c r="P20" s="50">
        <f t="shared" si="4"/>
        <v>399240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1158</v>
      </c>
      <c r="E21" s="15"/>
      <c r="F21" s="15"/>
      <c r="G21" s="15">
        <f t="shared" si="0"/>
        <v>1158</v>
      </c>
      <c r="H21" s="15"/>
      <c r="I21" s="16"/>
      <c r="J21" s="15">
        <f t="shared" si="1"/>
        <v>1158</v>
      </c>
      <c r="K21" s="15">
        <v>0</v>
      </c>
      <c r="L21" s="15">
        <f t="shared" si="2"/>
        <v>1158</v>
      </c>
      <c r="M21" s="30"/>
      <c r="N21" s="99">
        <v>8.5</v>
      </c>
      <c r="O21" s="50">
        <f t="shared" si="3"/>
        <v>9843</v>
      </c>
      <c r="P21" s="50">
        <f t="shared" si="4"/>
        <v>9843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224700</v>
      </c>
      <c r="E22" s="15">
        <v>113813</v>
      </c>
      <c r="F22" s="15"/>
      <c r="G22" s="15">
        <f t="shared" si="0"/>
        <v>338513</v>
      </c>
      <c r="H22" s="15"/>
      <c r="I22" s="16"/>
      <c r="J22" s="15">
        <f t="shared" si="1"/>
        <v>338513</v>
      </c>
      <c r="K22" s="15">
        <v>8000</v>
      </c>
      <c r="L22" s="15">
        <f t="shared" si="2"/>
        <v>346513</v>
      </c>
      <c r="M22" s="30"/>
      <c r="N22" s="99">
        <v>8.5</v>
      </c>
      <c r="O22" s="50">
        <f t="shared" si="3"/>
        <v>2945360.5</v>
      </c>
      <c r="P22" s="50">
        <f t="shared" si="4"/>
        <v>2877360.5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4215</v>
      </c>
      <c r="E23" s="15"/>
      <c r="F23" s="15"/>
      <c r="G23" s="15">
        <f t="shared" si="0"/>
        <v>4215</v>
      </c>
      <c r="H23" s="15"/>
      <c r="I23" s="16"/>
      <c r="J23" s="15">
        <f t="shared" si="1"/>
        <v>4215</v>
      </c>
      <c r="K23" s="15">
        <v>1500</v>
      </c>
      <c r="L23" s="15">
        <f t="shared" si="2"/>
        <v>5715</v>
      </c>
      <c r="M23" s="30" t="s">
        <v>75</v>
      </c>
      <c r="N23" s="99">
        <v>82</v>
      </c>
      <c r="O23" s="50">
        <f t="shared" si="3"/>
        <v>468630</v>
      </c>
      <c r="P23" s="50">
        <f t="shared" si="4"/>
        <v>345630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7794</v>
      </c>
      <c r="E24" s="29"/>
      <c r="F24" s="29"/>
      <c r="G24" s="15">
        <f t="shared" si="0"/>
        <v>7794</v>
      </c>
      <c r="H24" s="15"/>
      <c r="I24" s="16"/>
      <c r="J24" s="15">
        <f t="shared" si="1"/>
        <v>7794</v>
      </c>
      <c r="K24" s="15">
        <v>2713</v>
      </c>
      <c r="L24" s="15">
        <f t="shared" si="2"/>
        <v>10507</v>
      </c>
      <c r="M24" s="30"/>
      <c r="N24" s="99">
        <v>22.1</v>
      </c>
      <c r="O24" s="50">
        <f t="shared" si="3"/>
        <v>232204.7</v>
      </c>
      <c r="P24" s="50">
        <f t="shared" si="4"/>
        <v>172247.40000000002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155</v>
      </c>
      <c r="D26" s="15">
        <v>905</v>
      </c>
      <c r="E26" s="15"/>
      <c r="F26" s="15"/>
      <c r="G26" s="15">
        <f t="shared" si="0"/>
        <v>905</v>
      </c>
      <c r="H26" s="15"/>
      <c r="I26" s="16"/>
      <c r="J26" s="76">
        <f t="shared" si="1"/>
        <v>905</v>
      </c>
      <c r="K26" s="76">
        <v>46</v>
      </c>
      <c r="L26" s="76">
        <f t="shared" si="2"/>
        <v>951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9990</v>
      </c>
      <c r="E31" s="15"/>
      <c r="F31" s="15"/>
      <c r="G31" s="15">
        <f t="shared" si="0"/>
        <v>9990</v>
      </c>
      <c r="H31" s="15"/>
      <c r="I31" s="16"/>
      <c r="J31" s="76">
        <f t="shared" si="1"/>
        <v>9990</v>
      </c>
      <c r="K31" s="76">
        <v>0</v>
      </c>
      <c r="L31" s="76">
        <f t="shared" si="2"/>
        <v>9990</v>
      </c>
      <c r="M31" s="78"/>
      <c r="N31" s="99">
        <v>60</v>
      </c>
      <c r="O31" s="50">
        <f t="shared" si="3"/>
        <v>599400</v>
      </c>
      <c r="P31" s="50">
        <f t="shared" si="4"/>
        <v>599400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1010</v>
      </c>
      <c r="E32" s="15"/>
      <c r="F32" s="15"/>
      <c r="G32" s="15">
        <f t="shared" si="0"/>
        <v>1010</v>
      </c>
      <c r="H32" s="15"/>
      <c r="I32" s="16"/>
      <c r="J32" s="76">
        <f t="shared" si="1"/>
        <v>1010</v>
      </c>
      <c r="K32" s="76"/>
      <c r="L32" s="76">
        <f t="shared" si="2"/>
        <v>1010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13354</v>
      </c>
      <c r="E33" s="15"/>
      <c r="F33" s="15"/>
      <c r="G33" s="15">
        <f t="shared" si="0"/>
        <v>13354</v>
      </c>
      <c r="H33" s="15"/>
      <c r="I33" s="16"/>
      <c r="J33" s="76">
        <f t="shared" si="1"/>
        <v>13354</v>
      </c>
      <c r="K33" s="76">
        <v>206</v>
      </c>
      <c r="L33" s="76">
        <f t="shared" si="2"/>
        <v>13560</v>
      </c>
      <c r="M33" s="30"/>
      <c r="N33" s="99">
        <v>12.49</v>
      </c>
      <c r="O33" s="50">
        <f t="shared" si="3"/>
        <v>169364.4</v>
      </c>
      <c r="P33" s="50">
        <f t="shared" si="4"/>
        <v>166791.46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158</v>
      </c>
      <c r="E34" s="15"/>
      <c r="F34" s="15"/>
      <c r="G34" s="15">
        <f t="shared" si="0"/>
        <v>158</v>
      </c>
      <c r="H34" s="15"/>
      <c r="I34" s="16"/>
      <c r="J34" s="76">
        <f t="shared" si="1"/>
        <v>158</v>
      </c>
      <c r="K34" s="76">
        <v>-50</v>
      </c>
      <c r="L34" s="76">
        <f t="shared" si="2"/>
        <v>108</v>
      </c>
      <c r="M34" s="77"/>
      <c r="N34" s="99">
        <v>435</v>
      </c>
      <c r="O34" s="50">
        <f t="shared" si="3"/>
        <v>46980</v>
      </c>
      <c r="P34" s="50">
        <f t="shared" si="4"/>
        <v>68730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104</v>
      </c>
      <c r="E35" s="15"/>
      <c r="F35" s="15"/>
      <c r="G35" s="15">
        <f t="shared" si="0"/>
        <v>104</v>
      </c>
      <c r="H35" s="15"/>
      <c r="I35" s="16"/>
      <c r="J35" s="76">
        <f>G35-H35-I35</f>
        <v>104</v>
      </c>
      <c r="K35" s="76">
        <v>-50</v>
      </c>
      <c r="L35" s="76">
        <f t="shared" si="2"/>
        <v>54</v>
      </c>
      <c r="M35" s="84"/>
      <c r="N35" s="99">
        <v>730</v>
      </c>
      <c r="O35" s="50">
        <f t="shared" si="3"/>
        <v>39420</v>
      </c>
      <c r="P35" s="50">
        <f t="shared" si="4"/>
        <v>75920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327</v>
      </c>
      <c r="E36" s="15"/>
      <c r="F36" s="15"/>
      <c r="G36" s="15">
        <f t="shared" si="0"/>
        <v>327</v>
      </c>
      <c r="H36" s="16"/>
      <c r="I36" s="16"/>
      <c r="J36" s="76">
        <f t="shared" si="1"/>
        <v>327</v>
      </c>
      <c r="K36" s="76">
        <v>-125</v>
      </c>
      <c r="L36" s="76">
        <f t="shared" si="2"/>
        <v>202</v>
      </c>
      <c r="M36" s="84"/>
      <c r="N36" s="99">
        <v>155</v>
      </c>
      <c r="O36" s="50">
        <f t="shared" si="3"/>
        <v>31310</v>
      </c>
      <c r="P36" s="50">
        <f t="shared" si="4"/>
        <v>50685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1046</v>
      </c>
      <c r="E37" s="15"/>
      <c r="F37" s="15"/>
      <c r="G37" s="15">
        <f t="shared" si="0"/>
        <v>1046</v>
      </c>
      <c r="H37" s="16"/>
      <c r="I37" s="16"/>
      <c r="J37" s="76">
        <f t="shared" si="1"/>
        <v>1046</v>
      </c>
      <c r="K37" s="76">
        <v>0</v>
      </c>
      <c r="L37" s="76">
        <f t="shared" si="2"/>
        <v>1046</v>
      </c>
      <c r="M37" s="84"/>
      <c r="N37" s="99">
        <v>125</v>
      </c>
      <c r="O37" s="50">
        <f t="shared" si="3"/>
        <v>130750</v>
      </c>
      <c r="P37" s="50">
        <f t="shared" si="4"/>
        <v>130750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280</v>
      </c>
      <c r="E39" s="15"/>
      <c r="F39" s="15"/>
      <c r="G39" s="15">
        <f t="shared" si="0"/>
        <v>280</v>
      </c>
      <c r="H39" s="16"/>
      <c r="I39" s="16"/>
      <c r="J39" s="76">
        <f t="shared" si="1"/>
        <v>280</v>
      </c>
      <c r="K39" s="76">
        <v>-70</v>
      </c>
      <c r="L39" s="76">
        <f t="shared" si="2"/>
        <v>210</v>
      </c>
      <c r="M39" s="84"/>
      <c r="N39" s="99">
        <v>975</v>
      </c>
      <c r="O39" s="50">
        <f t="shared" si="3"/>
        <v>204750</v>
      </c>
      <c r="P39" s="50">
        <f t="shared" si="4"/>
        <v>273000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654</v>
      </c>
      <c r="E41" s="15"/>
      <c r="F41" s="15"/>
      <c r="G41" s="15">
        <f t="shared" si="0"/>
        <v>654</v>
      </c>
      <c r="H41" s="16"/>
      <c r="I41" s="16"/>
      <c r="J41" s="76">
        <f t="shared" si="1"/>
        <v>654</v>
      </c>
      <c r="K41" s="76">
        <v>500</v>
      </c>
      <c r="L41" s="76">
        <f t="shared" si="2"/>
        <v>1154</v>
      </c>
      <c r="M41" s="84"/>
      <c r="N41" s="99">
        <v>125</v>
      </c>
      <c r="O41" s="50">
        <f t="shared" si="3"/>
        <v>144250</v>
      </c>
      <c r="P41" s="50">
        <f t="shared" si="4"/>
        <v>81750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10552</v>
      </c>
      <c r="E44" s="15"/>
      <c r="F44" s="15"/>
      <c r="G44" s="15">
        <f t="shared" si="0"/>
        <v>10552</v>
      </c>
      <c r="H44" s="16"/>
      <c r="I44" s="16"/>
      <c r="J44" s="76">
        <f t="shared" si="1"/>
        <v>10552</v>
      </c>
      <c r="K44" s="76">
        <v>2200</v>
      </c>
      <c r="L44" s="76">
        <f t="shared" si="2"/>
        <v>12752</v>
      </c>
      <c r="M44" s="84"/>
      <c r="N44" s="99">
        <v>80</v>
      </c>
      <c r="O44" s="50">
        <f t="shared" si="3"/>
        <v>1020160</v>
      </c>
      <c r="P44" s="50">
        <f t="shared" si="4"/>
        <v>844160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15734</v>
      </c>
      <c r="E46" s="15"/>
      <c r="F46" s="15"/>
      <c r="G46" s="15">
        <f t="shared" si="0"/>
        <v>15734</v>
      </c>
      <c r="H46" s="16"/>
      <c r="I46" s="16"/>
      <c r="J46" s="76">
        <f t="shared" si="1"/>
        <v>15734</v>
      </c>
      <c r="K46" s="76">
        <v>-180</v>
      </c>
      <c r="L46" s="76">
        <f t="shared" si="2"/>
        <v>15554</v>
      </c>
      <c r="M46" s="84"/>
      <c r="N46" s="99">
        <v>275</v>
      </c>
      <c r="O46" s="50">
        <f t="shared" si="3"/>
        <v>4277350</v>
      </c>
      <c r="P46" s="50">
        <f t="shared" si="4"/>
        <v>4326850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945</v>
      </c>
      <c r="E47" s="15"/>
      <c r="F47" s="15"/>
      <c r="G47" s="15">
        <f t="shared" si="0"/>
        <v>945</v>
      </c>
      <c r="H47" s="15"/>
      <c r="I47" s="16"/>
      <c r="J47" s="76">
        <f t="shared" si="1"/>
        <v>945</v>
      </c>
      <c r="K47" s="76">
        <v>0</v>
      </c>
      <c r="L47" s="76">
        <f t="shared" si="2"/>
        <v>945</v>
      </c>
      <c r="M47" s="84"/>
      <c r="N47" s="99">
        <v>250</v>
      </c>
      <c r="O47" s="50">
        <f t="shared" si="3"/>
        <v>236250</v>
      </c>
      <c r="P47" s="50">
        <f t="shared" si="4"/>
        <v>236250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302</v>
      </c>
      <c r="E49" s="15"/>
      <c r="F49" s="15"/>
      <c r="G49" s="15">
        <f t="shared" si="0"/>
        <v>302</v>
      </c>
      <c r="H49" s="15"/>
      <c r="I49" s="16"/>
      <c r="J49" s="76">
        <f t="shared" si="1"/>
        <v>302</v>
      </c>
      <c r="K49" s="76">
        <v>45</v>
      </c>
      <c r="L49" s="76">
        <f t="shared" si="2"/>
        <v>347</v>
      </c>
      <c r="M49" s="84"/>
      <c r="N49" s="99">
        <v>800</v>
      </c>
      <c r="O49" s="50">
        <f t="shared" si="3"/>
        <v>277600</v>
      </c>
      <c r="P49" s="50">
        <f t="shared" si="4"/>
        <v>241600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74</v>
      </c>
      <c r="E53" s="15"/>
      <c r="F53" s="15"/>
      <c r="G53" s="15">
        <f t="shared" si="0"/>
        <v>74</v>
      </c>
      <c r="H53" s="15"/>
      <c r="I53" s="20"/>
      <c r="J53" s="76">
        <f t="shared" si="1"/>
        <v>74</v>
      </c>
      <c r="K53" s="76">
        <v>0</v>
      </c>
      <c r="L53" s="76">
        <f t="shared" si="2"/>
        <v>74</v>
      </c>
      <c r="M53" s="84"/>
      <c r="N53" s="99">
        <v>1600</v>
      </c>
      <c r="O53" s="50">
        <f t="shared" si="3"/>
        <v>118400</v>
      </c>
      <c r="P53" s="50">
        <f t="shared" si="4"/>
        <v>118400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726</v>
      </c>
      <c r="E54" s="15"/>
      <c r="F54" s="15"/>
      <c r="G54" s="15">
        <f t="shared" si="0"/>
        <v>726</v>
      </c>
      <c r="H54" s="15"/>
      <c r="I54" s="16"/>
      <c r="J54" s="76">
        <f t="shared" si="1"/>
        <v>726</v>
      </c>
      <c r="K54" s="76">
        <v>-350</v>
      </c>
      <c r="L54" s="76">
        <f t="shared" si="2"/>
        <v>376</v>
      </c>
      <c r="M54" s="84"/>
      <c r="N54" s="99">
        <v>375</v>
      </c>
      <c r="O54" s="50">
        <f t="shared" si="3"/>
        <v>141000</v>
      </c>
      <c r="P54" s="50">
        <f t="shared" si="4"/>
        <v>272250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120</v>
      </c>
      <c r="E55" s="15"/>
      <c r="F55" s="15"/>
      <c r="G55" s="15">
        <f t="shared" si="0"/>
        <v>120</v>
      </c>
      <c r="H55" s="15"/>
      <c r="I55" s="21"/>
      <c r="J55" s="76">
        <f t="shared" si="1"/>
        <v>120</v>
      </c>
      <c r="K55" s="76">
        <v>9</v>
      </c>
      <c r="L55" s="76">
        <f t="shared" si="2"/>
        <v>129</v>
      </c>
      <c r="M55" s="30"/>
      <c r="N55" s="99">
        <v>425</v>
      </c>
      <c r="O55" s="50">
        <f t="shared" si="3"/>
        <v>54825</v>
      </c>
      <c r="P55" s="50">
        <f t="shared" si="4"/>
        <v>51000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430</v>
      </c>
      <c r="E56" s="15"/>
      <c r="F56" s="15"/>
      <c r="G56" s="15">
        <f t="shared" si="0"/>
        <v>430</v>
      </c>
      <c r="H56" s="15"/>
      <c r="I56" s="22"/>
      <c r="J56" s="76">
        <f t="shared" si="1"/>
        <v>430</v>
      </c>
      <c r="K56" s="76">
        <v>-200</v>
      </c>
      <c r="L56" s="76">
        <f t="shared" si="2"/>
        <v>230</v>
      </c>
      <c r="M56" s="84"/>
      <c r="N56" s="99">
        <v>390</v>
      </c>
      <c r="O56" s="50">
        <f t="shared" si="3"/>
        <v>89700</v>
      </c>
      <c r="P56" s="50">
        <f t="shared" si="4"/>
        <v>167700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-79</v>
      </c>
      <c r="E58" s="15"/>
      <c r="F58" s="15"/>
      <c r="G58" s="15">
        <f t="shared" si="0"/>
        <v>-79</v>
      </c>
      <c r="H58" s="15"/>
      <c r="I58" s="16"/>
      <c r="J58" s="76">
        <f t="shared" si="1"/>
        <v>-79</v>
      </c>
      <c r="K58" s="76">
        <v>50</v>
      </c>
      <c r="L58" s="76">
        <f t="shared" si="2"/>
        <v>-29</v>
      </c>
      <c r="M58" s="30"/>
      <c r="N58" s="99">
        <v>132</v>
      </c>
      <c r="O58" s="50">
        <f t="shared" si="3"/>
        <v>-3828</v>
      </c>
      <c r="P58" s="50">
        <f t="shared" si="4"/>
        <v>-10428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363</v>
      </c>
      <c r="E59" s="15"/>
      <c r="F59" s="15"/>
      <c r="G59" s="15">
        <f t="shared" si="0"/>
        <v>363</v>
      </c>
      <c r="H59" s="15"/>
      <c r="I59" s="16"/>
      <c r="J59" s="76">
        <f t="shared" si="1"/>
        <v>363</v>
      </c>
      <c r="K59" s="76">
        <v>0</v>
      </c>
      <c r="L59" s="76">
        <f t="shared" si="2"/>
        <v>363</v>
      </c>
      <c r="M59" s="84"/>
      <c r="N59" s="99">
        <v>570</v>
      </c>
      <c r="O59" s="50">
        <f t="shared" si="3"/>
        <v>206910</v>
      </c>
      <c r="P59" s="50">
        <f t="shared" si="4"/>
        <v>206910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5435</v>
      </c>
      <c r="E62" s="15"/>
      <c r="F62" s="15"/>
      <c r="G62" s="15">
        <f t="shared" si="0"/>
        <v>5435</v>
      </c>
      <c r="H62" s="15"/>
      <c r="I62" s="16"/>
      <c r="J62" s="76">
        <f t="shared" si="1"/>
        <v>5435</v>
      </c>
      <c r="K62" s="76">
        <v>187</v>
      </c>
      <c r="L62" s="76">
        <f t="shared" si="2"/>
        <v>5622</v>
      </c>
      <c r="M62" s="30"/>
      <c r="N62" s="99">
        <v>87.38</v>
      </c>
      <c r="O62" s="50">
        <f t="shared" si="3"/>
        <v>491250.36</v>
      </c>
      <c r="P62" s="50">
        <f t="shared" si="4"/>
        <v>474910.3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2</v>
      </c>
      <c r="E63" s="15"/>
      <c r="F63" s="15"/>
      <c r="G63" s="15">
        <f t="shared" si="0"/>
        <v>2</v>
      </c>
      <c r="H63" s="15"/>
      <c r="I63" s="16"/>
      <c r="J63" s="76">
        <f t="shared" si="1"/>
        <v>2</v>
      </c>
      <c r="K63" s="76">
        <v>300</v>
      </c>
      <c r="L63" s="76">
        <f t="shared" si="2"/>
        <v>302</v>
      </c>
      <c r="M63" s="84"/>
      <c r="N63" s="99">
        <v>290</v>
      </c>
      <c r="O63" s="50">
        <f t="shared" si="3"/>
        <v>87580</v>
      </c>
      <c r="P63" s="50">
        <f t="shared" si="4"/>
        <v>580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-6</v>
      </c>
      <c r="E64" s="23"/>
      <c r="F64" s="23"/>
      <c r="G64" s="23">
        <f t="shared" si="0"/>
        <v>-6</v>
      </c>
      <c r="H64" s="23"/>
      <c r="I64" s="23"/>
      <c r="J64" s="76">
        <f t="shared" si="1"/>
        <v>-6</v>
      </c>
      <c r="K64" s="79">
        <v>100</v>
      </c>
      <c r="L64" s="76">
        <f t="shared" si="2"/>
        <v>94</v>
      </c>
      <c r="M64" s="30"/>
      <c r="N64" s="99">
        <v>70</v>
      </c>
      <c r="O64" s="50">
        <f t="shared" si="3"/>
        <v>6580</v>
      </c>
      <c r="P64" s="50">
        <f t="shared" si="4"/>
        <v>-420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-49</v>
      </c>
      <c r="E65" s="24"/>
      <c r="F65" s="24"/>
      <c r="G65" s="16">
        <f t="shared" si="0"/>
        <v>-49</v>
      </c>
      <c r="H65" s="24"/>
      <c r="I65" s="24"/>
      <c r="J65" s="76">
        <f t="shared" si="1"/>
        <v>-49</v>
      </c>
      <c r="K65" s="80">
        <v>15</v>
      </c>
      <c r="L65" s="76">
        <f t="shared" si="2"/>
        <v>-34</v>
      </c>
      <c r="M65" s="86"/>
      <c r="N65" s="99">
        <v>240</v>
      </c>
      <c r="O65" s="50">
        <f t="shared" si="3"/>
        <v>-8160</v>
      </c>
      <c r="P65" s="50">
        <f t="shared" si="4"/>
        <v>-11760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309</v>
      </c>
      <c r="E66" s="24"/>
      <c r="F66" s="24"/>
      <c r="G66" s="16">
        <f t="shared" si="0"/>
        <v>309</v>
      </c>
      <c r="H66" s="24"/>
      <c r="I66" s="24"/>
      <c r="J66" s="76">
        <f t="shared" si="1"/>
        <v>309</v>
      </c>
      <c r="K66" s="81">
        <v>0</v>
      </c>
      <c r="L66" s="81">
        <f t="shared" si="2"/>
        <v>309</v>
      </c>
      <c r="M66" s="86"/>
      <c r="N66" s="99">
        <v>1100</v>
      </c>
      <c r="O66" s="50">
        <f t="shared" si="3"/>
        <v>339900</v>
      </c>
      <c r="P66" s="50">
        <f t="shared" si="4"/>
        <v>339900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-3055</v>
      </c>
      <c r="E67" s="24">
        <v>99450</v>
      </c>
      <c r="F67" s="24"/>
      <c r="G67" s="16">
        <f t="shared" si="0"/>
        <v>96395</v>
      </c>
      <c r="H67" s="24"/>
      <c r="I67" s="24"/>
      <c r="J67" s="76">
        <f t="shared" si="1"/>
        <v>96395</v>
      </c>
      <c r="K67" s="80">
        <v>2800</v>
      </c>
      <c r="L67" s="76">
        <f t="shared" si="2"/>
        <v>99195</v>
      </c>
      <c r="M67" s="84"/>
      <c r="N67" s="99">
        <v>53</v>
      </c>
      <c r="O67" s="50">
        <f t="shared" si="3"/>
        <v>5257335</v>
      </c>
      <c r="P67" s="50">
        <f t="shared" si="4"/>
        <v>5108935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157</v>
      </c>
      <c r="D69" s="16">
        <v>150</v>
      </c>
      <c r="E69" s="24"/>
      <c r="F69" s="24"/>
      <c r="G69" s="16">
        <f t="shared" si="0"/>
        <v>150</v>
      </c>
      <c r="H69" s="24"/>
      <c r="I69" s="24"/>
      <c r="J69" s="76">
        <f t="shared" si="1"/>
        <v>150</v>
      </c>
      <c r="K69" s="80">
        <v>0</v>
      </c>
      <c r="L69" s="76">
        <f t="shared" si="2"/>
        <v>150</v>
      </c>
      <c r="M69" s="84"/>
      <c r="N69" s="99">
        <v>1700</v>
      </c>
      <c r="O69" s="50">
        <f t="shared" si="3"/>
        <v>255000</v>
      </c>
      <c r="P69" s="50">
        <f t="shared" si="4"/>
        <v>255000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424</v>
      </c>
      <c r="E70" s="24"/>
      <c r="F70" s="24"/>
      <c r="G70" s="16">
        <f t="shared" si="0"/>
        <v>424</v>
      </c>
      <c r="H70" s="24"/>
      <c r="I70" s="24"/>
      <c r="J70" s="76">
        <f t="shared" si="1"/>
        <v>424</v>
      </c>
      <c r="K70" s="80">
        <v>-153</v>
      </c>
      <c r="L70" s="76">
        <f t="shared" si="2"/>
        <v>271</v>
      </c>
      <c r="M70" s="86"/>
      <c r="N70" s="99">
        <v>260</v>
      </c>
      <c r="O70" s="50">
        <f t="shared" si="3"/>
        <v>70460</v>
      </c>
      <c r="P70" s="50">
        <f t="shared" si="4"/>
        <v>110240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3158</v>
      </c>
      <c r="E72" s="24"/>
      <c r="F72" s="24"/>
      <c r="G72" s="16">
        <f t="shared" si="0"/>
        <v>3158</v>
      </c>
      <c r="H72" s="24"/>
      <c r="I72" s="24"/>
      <c r="J72" s="76">
        <f t="shared" si="5"/>
        <v>3158</v>
      </c>
      <c r="K72" s="80">
        <v>-200</v>
      </c>
      <c r="L72" s="76">
        <f t="shared" si="2"/>
        <v>2958</v>
      </c>
      <c r="M72" s="30"/>
      <c r="N72" s="99">
        <v>39</v>
      </c>
      <c r="O72" s="50">
        <f t="shared" si="6"/>
        <v>115362</v>
      </c>
      <c r="P72" s="50">
        <f t="shared" si="7"/>
        <v>123162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17805</v>
      </c>
      <c r="E73" s="24"/>
      <c r="F73" s="24"/>
      <c r="G73" s="16">
        <f t="shared" si="0"/>
        <v>17805</v>
      </c>
      <c r="H73" s="24"/>
      <c r="I73" s="42"/>
      <c r="J73" s="76">
        <f t="shared" si="5"/>
        <v>17805</v>
      </c>
      <c r="K73" s="80">
        <v>0</v>
      </c>
      <c r="L73" s="76">
        <f t="shared" si="2"/>
        <v>17805</v>
      </c>
      <c r="M73" s="84"/>
      <c r="N73" s="99">
        <v>83</v>
      </c>
      <c r="O73" s="50">
        <f t="shared" si="6"/>
        <v>1477815</v>
      </c>
      <c r="P73" s="50">
        <f t="shared" si="7"/>
        <v>1477815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2436</v>
      </c>
      <c r="E75" s="24"/>
      <c r="F75" s="24"/>
      <c r="G75" s="16">
        <f t="shared" si="0"/>
        <v>2436</v>
      </c>
      <c r="H75" s="24"/>
      <c r="I75" s="24"/>
      <c r="J75" s="76">
        <f t="shared" si="5"/>
        <v>2436</v>
      </c>
      <c r="K75" s="80">
        <v>273</v>
      </c>
      <c r="L75" s="76">
        <f t="shared" si="2"/>
        <v>2709</v>
      </c>
      <c r="M75" s="86"/>
      <c r="N75" s="99">
        <v>16</v>
      </c>
      <c r="O75" s="50">
        <f t="shared" si="6"/>
        <v>43344</v>
      </c>
      <c r="P75" s="50">
        <f t="shared" si="7"/>
        <v>38976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306</v>
      </c>
      <c r="E76" s="24"/>
      <c r="F76" s="24"/>
      <c r="G76" s="16">
        <f t="shared" si="0"/>
        <v>306</v>
      </c>
      <c r="H76" s="24"/>
      <c r="I76" s="24"/>
      <c r="J76" s="76">
        <f t="shared" si="5"/>
        <v>306</v>
      </c>
      <c r="K76" s="80">
        <v>-250</v>
      </c>
      <c r="L76" s="76">
        <f t="shared" si="2"/>
        <v>56</v>
      </c>
      <c r="M76" s="30"/>
      <c r="N76" s="99">
        <v>400</v>
      </c>
      <c r="O76" s="50">
        <f t="shared" si="6"/>
        <v>22400</v>
      </c>
      <c r="P76" s="50">
        <f t="shared" si="7"/>
        <v>122400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308</v>
      </c>
      <c r="E78" s="24"/>
      <c r="F78" s="24"/>
      <c r="G78" s="16">
        <f t="shared" si="0"/>
        <v>308</v>
      </c>
      <c r="H78" s="24"/>
      <c r="I78" s="24"/>
      <c r="J78" s="76">
        <f t="shared" si="5"/>
        <v>308</v>
      </c>
      <c r="K78" s="80">
        <v>100</v>
      </c>
      <c r="L78" s="76">
        <f t="shared" si="2"/>
        <v>408</v>
      </c>
      <c r="M78" s="86"/>
      <c r="N78" s="99">
        <v>900</v>
      </c>
      <c r="O78" s="50">
        <f t="shared" si="6"/>
        <v>367200</v>
      </c>
      <c r="P78" s="50">
        <f t="shared" si="7"/>
        <v>277200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5013</v>
      </c>
      <c r="E83" s="98"/>
      <c r="F83" s="24"/>
      <c r="G83" s="16">
        <f t="shared" si="8"/>
        <v>5013</v>
      </c>
      <c r="H83" s="24"/>
      <c r="I83" s="95"/>
      <c r="J83" s="76">
        <f t="shared" si="5"/>
        <v>5013</v>
      </c>
      <c r="K83" s="81">
        <v>0</v>
      </c>
      <c r="L83" s="76">
        <f t="shared" si="2"/>
        <v>5013</v>
      </c>
      <c r="M83" s="85"/>
      <c r="N83" s="100">
        <v>64</v>
      </c>
      <c r="O83" s="50">
        <f t="shared" si="6"/>
        <v>320832</v>
      </c>
      <c r="P83" s="50">
        <f t="shared" si="7"/>
        <v>320832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37</v>
      </c>
      <c r="E84" s="89"/>
      <c r="F84" s="12"/>
      <c r="G84" s="45">
        <f t="shared" si="8"/>
        <v>37</v>
      </c>
      <c r="H84" s="12"/>
      <c r="I84" s="94"/>
      <c r="J84" s="82">
        <f t="shared" ref="J84:J97" si="9">D84+E84-H84-I84</f>
        <v>37</v>
      </c>
      <c r="K84" s="96">
        <v>0</v>
      </c>
      <c r="L84" s="82">
        <f t="shared" si="2"/>
        <v>37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277</v>
      </c>
      <c r="E85" s="90"/>
      <c r="F85" s="11"/>
      <c r="G85" s="16">
        <f t="shared" si="8"/>
        <v>277</v>
      </c>
      <c r="H85" s="88"/>
      <c r="I85" s="11"/>
      <c r="J85" s="76">
        <f t="shared" si="9"/>
        <v>277</v>
      </c>
      <c r="K85" s="97">
        <v>500</v>
      </c>
      <c r="L85" s="76">
        <f t="shared" si="2"/>
        <v>777</v>
      </c>
      <c r="M85" s="86"/>
      <c r="N85" s="99">
        <v>350</v>
      </c>
      <c r="O85" s="50">
        <f t="shared" si="6"/>
        <v>271950</v>
      </c>
      <c r="P85" s="50">
        <f t="shared" si="7"/>
        <v>96950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391</v>
      </c>
      <c r="E86" s="90"/>
      <c r="F86" s="11"/>
      <c r="G86" s="16">
        <f t="shared" si="8"/>
        <v>391</v>
      </c>
      <c r="H86" s="88"/>
      <c r="I86" s="11"/>
      <c r="J86" s="76">
        <f t="shared" si="9"/>
        <v>391</v>
      </c>
      <c r="K86" s="97">
        <v>300</v>
      </c>
      <c r="L86" s="76">
        <f t="shared" si="2"/>
        <v>691</v>
      </c>
      <c r="M86" s="84"/>
      <c r="N86" s="99">
        <v>165</v>
      </c>
      <c r="O86" s="50">
        <f t="shared" si="6"/>
        <v>114015</v>
      </c>
      <c r="P86" s="50">
        <f t="shared" si="7"/>
        <v>64515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260</v>
      </c>
      <c r="E87" s="11"/>
      <c r="F87" s="11"/>
      <c r="G87" s="16">
        <f t="shared" si="8"/>
        <v>260</v>
      </c>
      <c r="H87" s="88"/>
      <c r="I87" s="11"/>
      <c r="J87" s="76">
        <f t="shared" si="9"/>
        <v>260</v>
      </c>
      <c r="K87" s="97">
        <v>-1</v>
      </c>
      <c r="L87" s="76">
        <f t="shared" si="2"/>
        <v>259</v>
      </c>
      <c r="M87" s="86"/>
      <c r="N87" s="99">
        <v>630</v>
      </c>
      <c r="O87" s="50">
        <f t="shared" si="6"/>
        <v>163170</v>
      </c>
      <c r="P87" s="50">
        <f t="shared" si="7"/>
        <v>163800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16</v>
      </c>
      <c r="E88" s="11"/>
      <c r="F88" s="11"/>
      <c r="G88" s="16">
        <f t="shared" si="8"/>
        <v>16</v>
      </c>
      <c r="H88" s="88"/>
      <c r="I88" s="11"/>
      <c r="J88" s="76">
        <f t="shared" si="9"/>
        <v>16</v>
      </c>
      <c r="K88" s="97">
        <v>0</v>
      </c>
      <c r="L88" s="76">
        <f t="shared" ref="L88:L97" si="10">J88+K88</f>
        <v>16</v>
      </c>
      <c r="M88" s="86"/>
      <c r="N88" s="99">
        <v>285</v>
      </c>
      <c r="O88" s="50">
        <f t="shared" si="6"/>
        <v>4560</v>
      </c>
      <c r="P88" s="50">
        <f t="shared" si="7"/>
        <v>4560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38</v>
      </c>
      <c r="E89" s="88"/>
      <c r="F89" s="11"/>
      <c r="G89" s="16">
        <f t="shared" si="8"/>
        <v>38</v>
      </c>
      <c r="H89" s="88"/>
      <c r="I89" s="11"/>
      <c r="J89" s="76">
        <f t="shared" si="9"/>
        <v>38</v>
      </c>
      <c r="K89" s="97">
        <v>0</v>
      </c>
      <c r="L89" s="76">
        <f t="shared" si="10"/>
        <v>38</v>
      </c>
      <c r="M89" s="86"/>
      <c r="N89" s="99">
        <v>205</v>
      </c>
      <c r="O89" s="50">
        <f t="shared" si="6"/>
        <v>7790</v>
      </c>
      <c r="P89" s="50">
        <f t="shared" si="7"/>
        <v>7790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356</v>
      </c>
      <c r="E92" s="88"/>
      <c r="F92" s="11"/>
      <c r="G92" s="16">
        <f t="shared" si="8"/>
        <v>356</v>
      </c>
      <c r="H92" s="88"/>
      <c r="I92" s="11"/>
      <c r="J92" s="83">
        <f t="shared" si="9"/>
        <v>356</v>
      </c>
      <c r="K92" s="97">
        <v>0</v>
      </c>
      <c r="L92" s="76">
        <f t="shared" si="10"/>
        <v>356</v>
      </c>
      <c r="M92" s="86"/>
      <c r="N92" s="99">
        <v>113</v>
      </c>
      <c r="O92" s="50">
        <f t="shared" si="6"/>
        <v>40228</v>
      </c>
      <c r="P92" s="50">
        <f t="shared" si="7"/>
        <v>40228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229</v>
      </c>
      <c r="E94" s="88"/>
      <c r="F94" s="11"/>
      <c r="G94" s="16">
        <f t="shared" si="8"/>
        <v>229</v>
      </c>
      <c r="H94" s="88"/>
      <c r="I94" s="11"/>
      <c r="J94" s="83">
        <f t="shared" si="9"/>
        <v>229</v>
      </c>
      <c r="K94" s="97">
        <v>-50</v>
      </c>
      <c r="L94" s="76">
        <f t="shared" si="10"/>
        <v>179</v>
      </c>
      <c r="M94" s="86"/>
      <c r="N94" s="99">
        <v>950</v>
      </c>
      <c r="O94" s="50">
        <f t="shared" si="6"/>
        <v>170050</v>
      </c>
      <c r="P94" s="50">
        <f t="shared" si="7"/>
        <v>217550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1428261.2549999999</v>
      </c>
      <c r="E98" s="27">
        <f t="shared" ref="E98:L98" si="11">SUM(E6:E97)</f>
        <v>213263</v>
      </c>
      <c r="F98" s="27">
        <f t="shared" si="11"/>
        <v>0</v>
      </c>
      <c r="G98" s="27">
        <f t="shared" si="11"/>
        <v>1641524.2549999999</v>
      </c>
      <c r="H98" s="27">
        <f t="shared" si="11"/>
        <v>0</v>
      </c>
      <c r="I98" s="27">
        <f t="shared" si="11"/>
        <v>0</v>
      </c>
      <c r="J98" s="27">
        <f t="shared" si="11"/>
        <v>1641524.2549999999</v>
      </c>
      <c r="K98" s="27">
        <f t="shared" si="11"/>
        <v>-575681</v>
      </c>
      <c r="L98" s="27">
        <f t="shared" si="11"/>
        <v>1065843.2549999999</v>
      </c>
      <c r="M98" s="27">
        <f>SUM(M6:M96)</f>
        <v>0</v>
      </c>
      <c r="N98" s="51"/>
      <c r="O98" s="51">
        <f t="shared" ref="O98" si="12">SUM(O6:O97)</f>
        <v>38207073.579999998</v>
      </c>
      <c r="P98" s="51">
        <f>SUM(P6:P97)</f>
        <v>50375924.279999994</v>
      </c>
      <c r="Q98" s="57">
        <f>O98-P98</f>
        <v>-12168850.699999996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21" t="s">
        <v>115</v>
      </c>
      <c r="M100" s="121"/>
      <c r="O100" s="55" t="s">
        <v>110</v>
      </c>
      <c r="P100" s="54">
        <v>79909923</v>
      </c>
    </row>
    <row r="101" spans="1:22">
      <c r="P101" s="54">
        <f>P100-P98</f>
        <v>29533998.720000006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Q30" sqref="Q30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159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57021</v>
      </c>
      <c r="E6" s="15">
        <v>19873</v>
      </c>
      <c r="F6" s="16"/>
      <c r="G6" s="15">
        <f>D6+E6-F6</f>
        <v>76894</v>
      </c>
      <c r="H6" s="15">
        <v>9507</v>
      </c>
      <c r="I6" s="16"/>
      <c r="J6" s="15">
        <f>G6-H6-I6</f>
        <v>67387</v>
      </c>
      <c r="K6" s="15">
        <v>8000</v>
      </c>
      <c r="L6" s="15">
        <f>J6+K6</f>
        <v>75387</v>
      </c>
      <c r="M6" s="30" t="s">
        <v>75</v>
      </c>
      <c r="N6" s="99">
        <v>21.5</v>
      </c>
      <c r="O6" s="50">
        <f>L6*N6</f>
        <v>1620820.5</v>
      </c>
      <c r="P6" s="50">
        <f>J6*N6</f>
        <v>1448820.5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72571</v>
      </c>
      <c r="E7" s="15">
        <v>2980</v>
      </c>
      <c r="F7" s="15"/>
      <c r="G7" s="15">
        <f t="shared" ref="G7:G80" si="0">D7+E7-F7</f>
        <v>75551</v>
      </c>
      <c r="H7" s="15">
        <v>1338</v>
      </c>
      <c r="I7" s="15"/>
      <c r="J7" s="15">
        <f t="shared" ref="J7:J70" si="1">G7-H7-I7</f>
        <v>74213</v>
      </c>
      <c r="K7" s="15">
        <v>-5000</v>
      </c>
      <c r="L7" s="15">
        <f t="shared" ref="L7:L87" si="2">J7+K7</f>
        <v>69213</v>
      </c>
      <c r="M7" s="30"/>
      <c r="N7" s="99">
        <v>38</v>
      </c>
      <c r="O7" s="50">
        <f t="shared" ref="O7:O70" si="3">L7*N7</f>
        <v>2630094</v>
      </c>
      <c r="P7" s="50">
        <f t="shared" ref="P7:P70" si="4">J7*N7</f>
        <v>2820094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92329</v>
      </c>
      <c r="E8" s="15"/>
      <c r="F8" s="15"/>
      <c r="G8" s="15">
        <f t="shared" si="0"/>
        <v>92329</v>
      </c>
      <c r="H8" s="15">
        <v>3148</v>
      </c>
      <c r="I8" s="15"/>
      <c r="J8" s="15">
        <f t="shared" si="1"/>
        <v>89181</v>
      </c>
      <c r="K8" s="15">
        <v>0</v>
      </c>
      <c r="L8" s="15">
        <f t="shared" si="2"/>
        <v>89181</v>
      </c>
      <c r="M8" s="30"/>
      <c r="N8" s="99">
        <v>12</v>
      </c>
      <c r="O8" s="50">
        <f t="shared" si="3"/>
        <v>1070172</v>
      </c>
      <c r="P8" s="50">
        <f t="shared" si="4"/>
        <v>1070172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792830</v>
      </c>
      <c r="E10" s="15"/>
      <c r="F10" s="15"/>
      <c r="G10" s="15">
        <f t="shared" si="0"/>
        <v>792830</v>
      </c>
      <c r="H10" s="15">
        <v>2910</v>
      </c>
      <c r="I10" s="15"/>
      <c r="J10" s="15">
        <f t="shared" si="1"/>
        <v>789920</v>
      </c>
      <c r="K10" s="15">
        <v>-607000</v>
      </c>
      <c r="L10" s="15">
        <f t="shared" si="2"/>
        <v>182920</v>
      </c>
      <c r="M10" s="30"/>
      <c r="N10" s="99">
        <v>23.09</v>
      </c>
      <c r="O10" s="50">
        <f t="shared" si="3"/>
        <v>4223622.8</v>
      </c>
      <c r="P10" s="50">
        <f t="shared" si="4"/>
        <v>18239252.800000001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3736</v>
      </c>
      <c r="E11" s="15"/>
      <c r="F11" s="15"/>
      <c r="G11" s="15">
        <f t="shared" si="0"/>
        <v>3736</v>
      </c>
      <c r="H11" s="15">
        <v>1784</v>
      </c>
      <c r="I11" s="15"/>
      <c r="J11" s="15">
        <f t="shared" si="1"/>
        <v>1952</v>
      </c>
      <c r="K11" s="15">
        <v>2000</v>
      </c>
      <c r="L11" s="15">
        <f t="shared" si="2"/>
        <v>3952</v>
      </c>
      <c r="M11" s="30" t="s">
        <v>75</v>
      </c>
      <c r="N11" s="99">
        <v>16.5</v>
      </c>
      <c r="O11" s="50">
        <f t="shared" si="3"/>
        <v>65208</v>
      </c>
      <c r="P11" s="50">
        <f t="shared" si="4"/>
        <v>32208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1876</v>
      </c>
      <c r="E13" s="15"/>
      <c r="F13" s="15"/>
      <c r="G13" s="15">
        <f t="shared" si="0"/>
        <v>1876</v>
      </c>
      <c r="H13" s="15">
        <v>3445</v>
      </c>
      <c r="I13" s="15"/>
      <c r="J13" s="15">
        <f t="shared" si="1"/>
        <v>-1569</v>
      </c>
      <c r="K13" s="15">
        <v>5000</v>
      </c>
      <c r="L13" s="15">
        <f t="shared" si="2"/>
        <v>3431</v>
      </c>
      <c r="M13" s="30" t="s">
        <v>75</v>
      </c>
      <c r="N13" s="99">
        <v>27.5</v>
      </c>
      <c r="O13" s="50">
        <f t="shared" si="3"/>
        <v>94352.5</v>
      </c>
      <c r="P13" s="50">
        <f t="shared" si="4"/>
        <v>-43147.5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10958</v>
      </c>
      <c r="E14" s="15"/>
      <c r="F14" s="15"/>
      <c r="G14" s="15">
        <f t="shared" si="0"/>
        <v>10958</v>
      </c>
      <c r="H14" s="15"/>
      <c r="I14" s="16"/>
      <c r="J14" s="15">
        <f t="shared" si="1"/>
        <v>10958</v>
      </c>
      <c r="K14" s="15">
        <v>-1000</v>
      </c>
      <c r="L14" s="15">
        <f t="shared" si="2"/>
        <v>9958</v>
      </c>
      <c r="M14" s="30"/>
      <c r="N14" s="99">
        <v>59</v>
      </c>
      <c r="O14" s="50">
        <f t="shared" si="3"/>
        <v>587522</v>
      </c>
      <c r="P14" s="50">
        <f t="shared" si="4"/>
        <v>646522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17419</v>
      </c>
      <c r="E16" s="29"/>
      <c r="F16" s="15"/>
      <c r="G16" s="15">
        <f t="shared" si="0"/>
        <v>17419</v>
      </c>
      <c r="H16" s="15"/>
      <c r="I16" s="16"/>
      <c r="J16" s="15">
        <f t="shared" si="1"/>
        <v>17419</v>
      </c>
      <c r="K16" s="15">
        <v>0</v>
      </c>
      <c r="L16" s="15">
        <f>J16+K16</f>
        <v>17419</v>
      </c>
      <c r="M16" s="30"/>
      <c r="N16" s="99">
        <v>43.25</v>
      </c>
      <c r="O16" s="50">
        <f t="shared" si="3"/>
        <v>753371.75</v>
      </c>
      <c r="P16" s="50">
        <f t="shared" si="4"/>
        <v>753371.75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14211.439999999999</v>
      </c>
      <c r="E17" s="15"/>
      <c r="F17" s="15"/>
      <c r="G17" s="15">
        <f t="shared" si="0"/>
        <v>14211.439999999999</v>
      </c>
      <c r="H17" s="15"/>
      <c r="I17" s="16"/>
      <c r="J17" s="15">
        <f t="shared" si="1"/>
        <v>14211.439999999999</v>
      </c>
      <c r="K17" s="15">
        <v>0</v>
      </c>
      <c r="L17" s="15">
        <f t="shared" si="2"/>
        <v>14211.439999999999</v>
      </c>
      <c r="M17" s="31"/>
      <c r="N17" s="99">
        <v>53</v>
      </c>
      <c r="O17" s="50">
        <f t="shared" si="3"/>
        <v>753206.32</v>
      </c>
      <c r="P17" s="50">
        <f t="shared" si="4"/>
        <v>753206.32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5520</v>
      </c>
      <c r="E19" s="15"/>
      <c r="F19" s="15"/>
      <c r="G19" s="15">
        <f t="shared" si="0"/>
        <v>5520</v>
      </c>
      <c r="H19" s="15">
        <v>141</v>
      </c>
      <c r="I19" s="16"/>
      <c r="J19" s="15">
        <f t="shared" si="1"/>
        <v>5379</v>
      </c>
      <c r="K19" s="15">
        <v>1000</v>
      </c>
      <c r="L19" s="15">
        <f t="shared" si="2"/>
        <v>6379</v>
      </c>
      <c r="M19" s="30"/>
      <c r="N19" s="99">
        <v>22.8</v>
      </c>
      <c r="O19" s="50">
        <f t="shared" si="3"/>
        <v>145441.20000000001</v>
      </c>
      <c r="P19" s="50">
        <f t="shared" si="4"/>
        <v>122641.2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19962</v>
      </c>
      <c r="E20" s="15"/>
      <c r="F20" s="15"/>
      <c r="G20" s="15">
        <f t="shared" si="0"/>
        <v>19962</v>
      </c>
      <c r="H20" s="15">
        <v>615</v>
      </c>
      <c r="I20" s="16"/>
      <c r="J20" s="15">
        <f t="shared" si="1"/>
        <v>19347</v>
      </c>
      <c r="K20" s="15">
        <v>0</v>
      </c>
      <c r="L20" s="15">
        <f t="shared" si="2"/>
        <v>19347</v>
      </c>
      <c r="M20" s="30" t="s">
        <v>75</v>
      </c>
      <c r="N20" s="99">
        <v>20</v>
      </c>
      <c r="O20" s="50">
        <f t="shared" si="3"/>
        <v>386940</v>
      </c>
      <c r="P20" s="50">
        <f t="shared" si="4"/>
        <v>386940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1158</v>
      </c>
      <c r="E21" s="15"/>
      <c r="F21" s="15"/>
      <c r="G21" s="15">
        <f t="shared" si="0"/>
        <v>1158</v>
      </c>
      <c r="H21" s="15">
        <v>515</v>
      </c>
      <c r="I21" s="16"/>
      <c r="J21" s="15">
        <f t="shared" si="1"/>
        <v>643</v>
      </c>
      <c r="K21" s="15">
        <v>0</v>
      </c>
      <c r="L21" s="15">
        <f t="shared" si="2"/>
        <v>643</v>
      </c>
      <c r="M21" s="30"/>
      <c r="N21" s="99">
        <v>8.5</v>
      </c>
      <c r="O21" s="50">
        <f t="shared" si="3"/>
        <v>5465.5</v>
      </c>
      <c r="P21" s="50">
        <f t="shared" si="4"/>
        <v>5465.5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338513</v>
      </c>
      <c r="E22" s="15">
        <v>25484</v>
      </c>
      <c r="F22" s="15"/>
      <c r="G22" s="15">
        <f t="shared" si="0"/>
        <v>363997</v>
      </c>
      <c r="H22" s="15">
        <v>205</v>
      </c>
      <c r="I22" s="16"/>
      <c r="J22" s="15">
        <f t="shared" si="1"/>
        <v>363792</v>
      </c>
      <c r="K22" s="15">
        <v>8000</v>
      </c>
      <c r="L22" s="15">
        <f t="shared" si="2"/>
        <v>371792</v>
      </c>
      <c r="M22" s="30"/>
      <c r="N22" s="99">
        <v>8.5</v>
      </c>
      <c r="O22" s="50">
        <f t="shared" si="3"/>
        <v>3160232</v>
      </c>
      <c r="P22" s="50">
        <f t="shared" si="4"/>
        <v>3092232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4215</v>
      </c>
      <c r="E23" s="15"/>
      <c r="F23" s="15"/>
      <c r="G23" s="15">
        <f t="shared" si="0"/>
        <v>4215</v>
      </c>
      <c r="H23" s="15">
        <v>25</v>
      </c>
      <c r="I23" s="16"/>
      <c r="J23" s="15">
        <f t="shared" si="1"/>
        <v>4190</v>
      </c>
      <c r="K23" s="15">
        <v>1500</v>
      </c>
      <c r="L23" s="15">
        <f t="shared" si="2"/>
        <v>5690</v>
      </c>
      <c r="M23" s="30" t="s">
        <v>75</v>
      </c>
      <c r="N23" s="99">
        <v>82</v>
      </c>
      <c r="O23" s="50">
        <f t="shared" si="3"/>
        <v>466580</v>
      </c>
      <c r="P23" s="50">
        <f t="shared" si="4"/>
        <v>343580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7794</v>
      </c>
      <c r="E24" s="29"/>
      <c r="F24" s="29"/>
      <c r="G24" s="15">
        <f t="shared" si="0"/>
        <v>7794</v>
      </c>
      <c r="H24" s="15"/>
      <c r="I24" s="16"/>
      <c r="J24" s="15">
        <f t="shared" si="1"/>
        <v>7794</v>
      </c>
      <c r="K24" s="15">
        <v>2713</v>
      </c>
      <c r="L24" s="15">
        <f t="shared" si="2"/>
        <v>10507</v>
      </c>
      <c r="M24" s="30"/>
      <c r="N24" s="99">
        <v>22.1</v>
      </c>
      <c r="O24" s="50">
        <f t="shared" si="3"/>
        <v>232204.7</v>
      </c>
      <c r="P24" s="50">
        <f t="shared" si="4"/>
        <v>172247.40000000002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155</v>
      </c>
      <c r="D26" s="15">
        <v>905</v>
      </c>
      <c r="E26" s="15"/>
      <c r="F26" s="15"/>
      <c r="G26" s="15">
        <f t="shared" si="0"/>
        <v>905</v>
      </c>
      <c r="H26" s="15">
        <v>62</v>
      </c>
      <c r="I26" s="16"/>
      <c r="J26" s="76">
        <f t="shared" si="1"/>
        <v>843</v>
      </c>
      <c r="K26" s="76">
        <v>46</v>
      </c>
      <c r="L26" s="76">
        <f t="shared" si="2"/>
        <v>889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161</v>
      </c>
      <c r="D29" s="15">
        <v>0</v>
      </c>
      <c r="E29" s="15">
        <f>880+80</f>
        <v>960</v>
      </c>
      <c r="F29" s="15"/>
      <c r="G29" s="15">
        <f t="shared" si="0"/>
        <v>960</v>
      </c>
      <c r="H29" s="15">
        <v>614</v>
      </c>
      <c r="I29" s="16"/>
      <c r="J29" s="76">
        <f t="shared" si="1"/>
        <v>346</v>
      </c>
      <c r="K29" s="76">
        <v>0</v>
      </c>
      <c r="L29" s="76">
        <f t="shared" si="2"/>
        <v>346</v>
      </c>
      <c r="M29" s="78"/>
      <c r="N29" s="99">
        <v>72</v>
      </c>
      <c r="O29" s="50">
        <f t="shared" si="3"/>
        <v>24912</v>
      </c>
      <c r="P29" s="50">
        <f t="shared" si="4"/>
        <v>24912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9990</v>
      </c>
      <c r="E31" s="15"/>
      <c r="F31" s="15"/>
      <c r="G31" s="15">
        <f t="shared" si="0"/>
        <v>9990</v>
      </c>
      <c r="H31" s="15"/>
      <c r="I31" s="16"/>
      <c r="J31" s="76">
        <f t="shared" si="1"/>
        <v>9990</v>
      </c>
      <c r="K31" s="76">
        <v>0</v>
      </c>
      <c r="L31" s="76">
        <f t="shared" si="2"/>
        <v>9990</v>
      </c>
      <c r="M31" s="78"/>
      <c r="N31" s="99">
        <v>60</v>
      </c>
      <c r="O31" s="50">
        <f t="shared" si="3"/>
        <v>599400</v>
      </c>
      <c r="P31" s="50">
        <f t="shared" si="4"/>
        <v>599400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1010</v>
      </c>
      <c r="E32" s="15">
        <v>13540</v>
      </c>
      <c r="F32" s="15"/>
      <c r="G32" s="15">
        <f t="shared" si="0"/>
        <v>14550</v>
      </c>
      <c r="H32" s="15">
        <v>3220</v>
      </c>
      <c r="I32" s="16"/>
      <c r="J32" s="76">
        <f t="shared" si="1"/>
        <v>11330</v>
      </c>
      <c r="K32" s="76"/>
      <c r="L32" s="76">
        <f t="shared" si="2"/>
        <v>11330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13354</v>
      </c>
      <c r="E33" s="15"/>
      <c r="F33" s="15"/>
      <c r="G33" s="15">
        <f t="shared" si="0"/>
        <v>13354</v>
      </c>
      <c r="H33" s="15">
        <v>189</v>
      </c>
      <c r="I33" s="16"/>
      <c r="J33" s="76">
        <f t="shared" si="1"/>
        <v>13165</v>
      </c>
      <c r="K33" s="76">
        <v>206</v>
      </c>
      <c r="L33" s="76">
        <f t="shared" si="2"/>
        <v>13371</v>
      </c>
      <c r="M33" s="30"/>
      <c r="N33" s="99">
        <v>12.49</v>
      </c>
      <c r="O33" s="50">
        <f t="shared" si="3"/>
        <v>167003.79</v>
      </c>
      <c r="P33" s="50">
        <f t="shared" si="4"/>
        <v>164430.85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158</v>
      </c>
      <c r="E34" s="15"/>
      <c r="F34" s="15"/>
      <c r="G34" s="15">
        <f t="shared" si="0"/>
        <v>158</v>
      </c>
      <c r="H34" s="15"/>
      <c r="I34" s="16"/>
      <c r="J34" s="76">
        <f t="shared" si="1"/>
        <v>158</v>
      </c>
      <c r="K34" s="76">
        <v>-50</v>
      </c>
      <c r="L34" s="76">
        <f t="shared" si="2"/>
        <v>108</v>
      </c>
      <c r="M34" s="77"/>
      <c r="N34" s="99">
        <v>435</v>
      </c>
      <c r="O34" s="50">
        <f t="shared" si="3"/>
        <v>46980</v>
      </c>
      <c r="P34" s="50">
        <f t="shared" si="4"/>
        <v>68730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104</v>
      </c>
      <c r="E35" s="15"/>
      <c r="F35" s="15"/>
      <c r="G35" s="15">
        <f t="shared" si="0"/>
        <v>104</v>
      </c>
      <c r="H35" s="15"/>
      <c r="I35" s="16"/>
      <c r="J35" s="76">
        <f>G35-H35-I35</f>
        <v>104</v>
      </c>
      <c r="K35" s="76">
        <v>-50</v>
      </c>
      <c r="L35" s="76">
        <f t="shared" si="2"/>
        <v>54</v>
      </c>
      <c r="M35" s="84"/>
      <c r="N35" s="99">
        <v>730</v>
      </c>
      <c r="O35" s="50">
        <f t="shared" si="3"/>
        <v>39420</v>
      </c>
      <c r="P35" s="50">
        <f t="shared" si="4"/>
        <v>75920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327</v>
      </c>
      <c r="E36" s="15"/>
      <c r="F36" s="15"/>
      <c r="G36" s="15">
        <f t="shared" si="0"/>
        <v>327</v>
      </c>
      <c r="H36" s="16"/>
      <c r="I36" s="16"/>
      <c r="J36" s="76">
        <f t="shared" si="1"/>
        <v>327</v>
      </c>
      <c r="K36" s="76">
        <v>-125</v>
      </c>
      <c r="L36" s="76">
        <f t="shared" si="2"/>
        <v>202</v>
      </c>
      <c r="M36" s="84"/>
      <c r="N36" s="99">
        <v>155</v>
      </c>
      <c r="O36" s="50">
        <f t="shared" si="3"/>
        <v>31310</v>
      </c>
      <c r="P36" s="50">
        <f t="shared" si="4"/>
        <v>50685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1046</v>
      </c>
      <c r="E37" s="15"/>
      <c r="F37" s="15"/>
      <c r="G37" s="15">
        <f t="shared" si="0"/>
        <v>1046</v>
      </c>
      <c r="H37" s="16">
        <v>72</v>
      </c>
      <c r="I37" s="16"/>
      <c r="J37" s="76">
        <f t="shared" si="1"/>
        <v>974</v>
      </c>
      <c r="K37" s="76">
        <v>0</v>
      </c>
      <c r="L37" s="76">
        <f t="shared" si="2"/>
        <v>974</v>
      </c>
      <c r="M37" s="84"/>
      <c r="N37" s="99">
        <v>125</v>
      </c>
      <c r="O37" s="50">
        <f t="shared" si="3"/>
        <v>121750</v>
      </c>
      <c r="P37" s="50">
        <f t="shared" si="4"/>
        <v>121750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280</v>
      </c>
      <c r="E39" s="15"/>
      <c r="F39" s="15"/>
      <c r="G39" s="15">
        <f t="shared" si="0"/>
        <v>280</v>
      </c>
      <c r="H39" s="16"/>
      <c r="I39" s="16"/>
      <c r="J39" s="76">
        <f t="shared" si="1"/>
        <v>280</v>
      </c>
      <c r="K39" s="76">
        <v>-70</v>
      </c>
      <c r="L39" s="76">
        <f t="shared" si="2"/>
        <v>210</v>
      </c>
      <c r="M39" s="84"/>
      <c r="N39" s="99">
        <v>975</v>
      </c>
      <c r="O39" s="50">
        <f t="shared" si="3"/>
        <v>204750</v>
      </c>
      <c r="P39" s="50">
        <f t="shared" si="4"/>
        <v>273000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654</v>
      </c>
      <c r="E41" s="15"/>
      <c r="F41" s="15"/>
      <c r="G41" s="15">
        <f t="shared" si="0"/>
        <v>654</v>
      </c>
      <c r="H41" s="16">
        <v>1</v>
      </c>
      <c r="I41" s="16"/>
      <c r="J41" s="76">
        <f t="shared" si="1"/>
        <v>653</v>
      </c>
      <c r="K41" s="76">
        <v>500</v>
      </c>
      <c r="L41" s="76">
        <f t="shared" si="2"/>
        <v>1153</v>
      </c>
      <c r="M41" s="84"/>
      <c r="N41" s="99">
        <v>125</v>
      </c>
      <c r="O41" s="50">
        <f t="shared" si="3"/>
        <v>144125</v>
      </c>
      <c r="P41" s="50">
        <f t="shared" si="4"/>
        <v>81625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10552</v>
      </c>
      <c r="E44" s="15"/>
      <c r="F44" s="15"/>
      <c r="G44" s="15">
        <f t="shared" si="0"/>
        <v>10552</v>
      </c>
      <c r="H44" s="16"/>
      <c r="I44" s="16"/>
      <c r="J44" s="76">
        <f t="shared" si="1"/>
        <v>10552</v>
      </c>
      <c r="K44" s="76">
        <v>2200</v>
      </c>
      <c r="L44" s="76">
        <f t="shared" si="2"/>
        <v>12752</v>
      </c>
      <c r="M44" s="84"/>
      <c r="N44" s="99">
        <v>80</v>
      </c>
      <c r="O44" s="50">
        <f t="shared" si="3"/>
        <v>1020160</v>
      </c>
      <c r="P44" s="50">
        <f t="shared" si="4"/>
        <v>844160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15734</v>
      </c>
      <c r="E46" s="15"/>
      <c r="F46" s="15"/>
      <c r="G46" s="15">
        <f t="shared" si="0"/>
        <v>15734</v>
      </c>
      <c r="H46" s="16">
        <v>5</v>
      </c>
      <c r="I46" s="16"/>
      <c r="J46" s="76">
        <f t="shared" si="1"/>
        <v>15729</v>
      </c>
      <c r="K46" s="76">
        <v>-180</v>
      </c>
      <c r="L46" s="76">
        <f t="shared" si="2"/>
        <v>15549</v>
      </c>
      <c r="M46" s="84"/>
      <c r="N46" s="99">
        <v>275</v>
      </c>
      <c r="O46" s="50">
        <f t="shared" si="3"/>
        <v>4275975</v>
      </c>
      <c r="P46" s="50">
        <f t="shared" si="4"/>
        <v>4325475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945</v>
      </c>
      <c r="E47" s="15"/>
      <c r="F47" s="15"/>
      <c r="G47" s="15">
        <f t="shared" si="0"/>
        <v>945</v>
      </c>
      <c r="H47" s="15">
        <v>2</v>
      </c>
      <c r="I47" s="16"/>
      <c r="J47" s="76">
        <f t="shared" si="1"/>
        <v>943</v>
      </c>
      <c r="K47" s="76">
        <v>0</v>
      </c>
      <c r="L47" s="76">
        <f t="shared" si="2"/>
        <v>943</v>
      </c>
      <c r="M47" s="84"/>
      <c r="N47" s="99">
        <v>250</v>
      </c>
      <c r="O47" s="50">
        <f t="shared" si="3"/>
        <v>235750</v>
      </c>
      <c r="P47" s="50">
        <f t="shared" si="4"/>
        <v>235750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302</v>
      </c>
      <c r="E49" s="15"/>
      <c r="F49" s="15"/>
      <c r="G49" s="15">
        <f t="shared" si="0"/>
        <v>302</v>
      </c>
      <c r="H49" s="15">
        <v>13</v>
      </c>
      <c r="I49" s="16"/>
      <c r="J49" s="76">
        <f t="shared" si="1"/>
        <v>289</v>
      </c>
      <c r="K49" s="76">
        <v>45</v>
      </c>
      <c r="L49" s="76">
        <f t="shared" si="2"/>
        <v>334</v>
      </c>
      <c r="M49" s="84"/>
      <c r="N49" s="99">
        <v>800</v>
      </c>
      <c r="O49" s="50">
        <f t="shared" si="3"/>
        <v>267200</v>
      </c>
      <c r="P49" s="50">
        <f t="shared" si="4"/>
        <v>231200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74</v>
      </c>
      <c r="E53" s="15"/>
      <c r="F53" s="15"/>
      <c r="G53" s="15">
        <f t="shared" si="0"/>
        <v>74</v>
      </c>
      <c r="H53" s="15"/>
      <c r="I53" s="20"/>
      <c r="J53" s="76">
        <f t="shared" si="1"/>
        <v>74</v>
      </c>
      <c r="K53" s="76">
        <v>0</v>
      </c>
      <c r="L53" s="76">
        <f t="shared" si="2"/>
        <v>74</v>
      </c>
      <c r="M53" s="84"/>
      <c r="N53" s="99">
        <v>1600</v>
      </c>
      <c r="O53" s="50">
        <f t="shared" si="3"/>
        <v>118400</v>
      </c>
      <c r="P53" s="50">
        <f t="shared" si="4"/>
        <v>118400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726</v>
      </c>
      <c r="E54" s="15"/>
      <c r="F54" s="15"/>
      <c r="G54" s="15">
        <f t="shared" si="0"/>
        <v>726</v>
      </c>
      <c r="H54" s="15"/>
      <c r="I54" s="16"/>
      <c r="J54" s="76">
        <f t="shared" si="1"/>
        <v>726</v>
      </c>
      <c r="K54" s="76">
        <v>-350</v>
      </c>
      <c r="L54" s="76">
        <f t="shared" si="2"/>
        <v>376</v>
      </c>
      <c r="M54" s="84"/>
      <c r="N54" s="99">
        <v>375</v>
      </c>
      <c r="O54" s="50">
        <f t="shared" si="3"/>
        <v>141000</v>
      </c>
      <c r="P54" s="50">
        <f t="shared" si="4"/>
        <v>272250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120</v>
      </c>
      <c r="E55" s="15"/>
      <c r="F55" s="15"/>
      <c r="G55" s="15">
        <f t="shared" si="0"/>
        <v>120</v>
      </c>
      <c r="H55" s="15"/>
      <c r="I55" s="21"/>
      <c r="J55" s="76">
        <f t="shared" si="1"/>
        <v>120</v>
      </c>
      <c r="K55" s="76">
        <v>9</v>
      </c>
      <c r="L55" s="76">
        <f t="shared" si="2"/>
        <v>129</v>
      </c>
      <c r="M55" s="30"/>
      <c r="N55" s="99">
        <v>425</v>
      </c>
      <c r="O55" s="50">
        <f t="shared" si="3"/>
        <v>54825</v>
      </c>
      <c r="P55" s="50">
        <f t="shared" si="4"/>
        <v>51000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430</v>
      </c>
      <c r="E56" s="15"/>
      <c r="F56" s="15"/>
      <c r="G56" s="15">
        <f t="shared" si="0"/>
        <v>430</v>
      </c>
      <c r="H56" s="15">
        <v>1</v>
      </c>
      <c r="I56" s="22"/>
      <c r="J56" s="76">
        <f t="shared" si="1"/>
        <v>429</v>
      </c>
      <c r="K56" s="76">
        <v>-200</v>
      </c>
      <c r="L56" s="76">
        <f t="shared" si="2"/>
        <v>229</v>
      </c>
      <c r="M56" s="84"/>
      <c r="N56" s="99">
        <v>390</v>
      </c>
      <c r="O56" s="50">
        <f t="shared" si="3"/>
        <v>89310</v>
      </c>
      <c r="P56" s="50">
        <f t="shared" si="4"/>
        <v>167310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-79</v>
      </c>
      <c r="E58" s="15"/>
      <c r="F58" s="15"/>
      <c r="G58" s="15">
        <f t="shared" si="0"/>
        <v>-79</v>
      </c>
      <c r="H58" s="15"/>
      <c r="I58" s="16"/>
      <c r="J58" s="76">
        <f t="shared" si="1"/>
        <v>-79</v>
      </c>
      <c r="K58" s="76">
        <v>50</v>
      </c>
      <c r="L58" s="76">
        <f t="shared" si="2"/>
        <v>-29</v>
      </c>
      <c r="M58" s="30"/>
      <c r="N58" s="99">
        <v>132</v>
      </c>
      <c r="O58" s="50">
        <f t="shared" si="3"/>
        <v>-3828</v>
      </c>
      <c r="P58" s="50">
        <f t="shared" si="4"/>
        <v>-10428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363</v>
      </c>
      <c r="E59" s="15"/>
      <c r="F59" s="15"/>
      <c r="G59" s="15">
        <f t="shared" si="0"/>
        <v>363</v>
      </c>
      <c r="H59" s="15">
        <v>1</v>
      </c>
      <c r="I59" s="16"/>
      <c r="J59" s="76">
        <f t="shared" si="1"/>
        <v>362</v>
      </c>
      <c r="K59" s="76">
        <v>0</v>
      </c>
      <c r="L59" s="76">
        <f t="shared" si="2"/>
        <v>362</v>
      </c>
      <c r="M59" s="84"/>
      <c r="N59" s="99">
        <v>570</v>
      </c>
      <c r="O59" s="50">
        <f t="shared" si="3"/>
        <v>206340</v>
      </c>
      <c r="P59" s="50">
        <f t="shared" si="4"/>
        <v>206340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5435</v>
      </c>
      <c r="E62" s="15"/>
      <c r="F62" s="15"/>
      <c r="G62" s="15">
        <f t="shared" si="0"/>
        <v>5435</v>
      </c>
      <c r="H62" s="15">
        <v>2</v>
      </c>
      <c r="I62" s="16"/>
      <c r="J62" s="76">
        <f t="shared" si="1"/>
        <v>5433</v>
      </c>
      <c r="K62" s="76">
        <v>187</v>
      </c>
      <c r="L62" s="76">
        <f t="shared" si="2"/>
        <v>5620</v>
      </c>
      <c r="M62" s="30"/>
      <c r="N62" s="99">
        <v>87.38</v>
      </c>
      <c r="O62" s="50">
        <f t="shared" si="3"/>
        <v>491075.6</v>
      </c>
      <c r="P62" s="50">
        <f t="shared" si="4"/>
        <v>474735.54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2</v>
      </c>
      <c r="E63" s="15"/>
      <c r="F63" s="15"/>
      <c r="G63" s="15">
        <f t="shared" si="0"/>
        <v>2</v>
      </c>
      <c r="H63" s="15"/>
      <c r="I63" s="16"/>
      <c r="J63" s="76">
        <f t="shared" si="1"/>
        <v>2</v>
      </c>
      <c r="K63" s="76">
        <v>300</v>
      </c>
      <c r="L63" s="76">
        <f t="shared" si="2"/>
        <v>302</v>
      </c>
      <c r="M63" s="84"/>
      <c r="N63" s="99">
        <v>290</v>
      </c>
      <c r="O63" s="50">
        <f t="shared" si="3"/>
        <v>87580</v>
      </c>
      <c r="P63" s="50">
        <f t="shared" si="4"/>
        <v>580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-6</v>
      </c>
      <c r="E64" s="23"/>
      <c r="F64" s="23"/>
      <c r="G64" s="23">
        <f t="shared" si="0"/>
        <v>-6</v>
      </c>
      <c r="H64" s="23">
        <v>2</v>
      </c>
      <c r="I64" s="23"/>
      <c r="J64" s="76">
        <f t="shared" si="1"/>
        <v>-8</v>
      </c>
      <c r="K64" s="79">
        <v>100</v>
      </c>
      <c r="L64" s="76">
        <f t="shared" si="2"/>
        <v>92</v>
      </c>
      <c r="M64" s="30"/>
      <c r="N64" s="99">
        <v>70</v>
      </c>
      <c r="O64" s="50">
        <f t="shared" si="3"/>
        <v>6440</v>
      </c>
      <c r="P64" s="50">
        <f t="shared" si="4"/>
        <v>-560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-49</v>
      </c>
      <c r="E65" s="24"/>
      <c r="F65" s="24"/>
      <c r="G65" s="16">
        <f t="shared" si="0"/>
        <v>-49</v>
      </c>
      <c r="H65" s="24"/>
      <c r="I65" s="24"/>
      <c r="J65" s="76">
        <f t="shared" si="1"/>
        <v>-49</v>
      </c>
      <c r="K65" s="80">
        <v>15</v>
      </c>
      <c r="L65" s="76">
        <f t="shared" si="2"/>
        <v>-34</v>
      </c>
      <c r="M65" s="86"/>
      <c r="N65" s="99">
        <v>240</v>
      </c>
      <c r="O65" s="50">
        <f t="shared" si="3"/>
        <v>-8160</v>
      </c>
      <c r="P65" s="50">
        <f t="shared" si="4"/>
        <v>-11760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309</v>
      </c>
      <c r="E66" s="24"/>
      <c r="F66" s="24"/>
      <c r="G66" s="16">
        <f t="shared" si="0"/>
        <v>309</v>
      </c>
      <c r="H66" s="24"/>
      <c r="I66" s="24"/>
      <c r="J66" s="76">
        <f t="shared" si="1"/>
        <v>309</v>
      </c>
      <c r="K66" s="81">
        <v>0</v>
      </c>
      <c r="L66" s="81">
        <f t="shared" si="2"/>
        <v>309</v>
      </c>
      <c r="M66" s="86"/>
      <c r="N66" s="99">
        <v>1100</v>
      </c>
      <c r="O66" s="50">
        <f t="shared" si="3"/>
        <v>339900</v>
      </c>
      <c r="P66" s="50">
        <f t="shared" si="4"/>
        <v>339900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96395</v>
      </c>
      <c r="E67" s="24">
        <v>200350</v>
      </c>
      <c r="F67" s="24"/>
      <c r="G67" s="16">
        <f t="shared" si="0"/>
        <v>296745</v>
      </c>
      <c r="H67" s="24">
        <v>48</v>
      </c>
      <c r="I67" s="24"/>
      <c r="J67" s="76">
        <f t="shared" si="1"/>
        <v>296697</v>
      </c>
      <c r="K67" s="80">
        <v>2800</v>
      </c>
      <c r="L67" s="76">
        <f t="shared" si="2"/>
        <v>299497</v>
      </c>
      <c r="M67" s="84"/>
      <c r="N67" s="99">
        <v>53</v>
      </c>
      <c r="O67" s="50">
        <f t="shared" si="3"/>
        <v>15873341</v>
      </c>
      <c r="P67" s="50">
        <f t="shared" si="4"/>
        <v>15724941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157</v>
      </c>
      <c r="D69" s="16">
        <v>150</v>
      </c>
      <c r="E69" s="24"/>
      <c r="F69" s="24"/>
      <c r="G69" s="16">
        <f t="shared" si="0"/>
        <v>150</v>
      </c>
      <c r="H69" s="24"/>
      <c r="I69" s="24"/>
      <c r="J69" s="76">
        <f t="shared" si="1"/>
        <v>150</v>
      </c>
      <c r="K69" s="80">
        <v>0</v>
      </c>
      <c r="L69" s="76">
        <f t="shared" si="2"/>
        <v>150</v>
      </c>
      <c r="M69" s="84"/>
      <c r="N69" s="99">
        <v>1700</v>
      </c>
      <c r="O69" s="50">
        <f t="shared" si="3"/>
        <v>255000</v>
      </c>
      <c r="P69" s="50">
        <f t="shared" si="4"/>
        <v>255000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424</v>
      </c>
      <c r="E70" s="24"/>
      <c r="F70" s="24"/>
      <c r="G70" s="16">
        <f t="shared" si="0"/>
        <v>424</v>
      </c>
      <c r="H70" s="24"/>
      <c r="I70" s="24"/>
      <c r="J70" s="76">
        <f t="shared" si="1"/>
        <v>424</v>
      </c>
      <c r="K70" s="80">
        <v>-153</v>
      </c>
      <c r="L70" s="76">
        <f t="shared" si="2"/>
        <v>271</v>
      </c>
      <c r="M70" s="86"/>
      <c r="N70" s="99">
        <v>260</v>
      </c>
      <c r="O70" s="50">
        <f t="shared" si="3"/>
        <v>70460</v>
      </c>
      <c r="P70" s="50">
        <f t="shared" si="4"/>
        <v>110240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3158</v>
      </c>
      <c r="E72" s="24"/>
      <c r="F72" s="24"/>
      <c r="G72" s="16">
        <f t="shared" si="0"/>
        <v>3158</v>
      </c>
      <c r="H72" s="24">
        <v>49</v>
      </c>
      <c r="I72" s="24"/>
      <c r="J72" s="76">
        <f t="shared" si="5"/>
        <v>3109</v>
      </c>
      <c r="K72" s="80">
        <v>-200</v>
      </c>
      <c r="L72" s="76">
        <f t="shared" si="2"/>
        <v>2909</v>
      </c>
      <c r="M72" s="30"/>
      <c r="N72" s="99">
        <v>39</v>
      </c>
      <c r="O72" s="50">
        <f t="shared" si="6"/>
        <v>113451</v>
      </c>
      <c r="P72" s="50">
        <f t="shared" si="7"/>
        <v>121251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17805</v>
      </c>
      <c r="E73" s="24"/>
      <c r="F73" s="24"/>
      <c r="G73" s="16">
        <f t="shared" si="0"/>
        <v>17805</v>
      </c>
      <c r="H73" s="24">
        <v>130</v>
      </c>
      <c r="I73" s="42"/>
      <c r="J73" s="76">
        <f t="shared" si="5"/>
        <v>17675</v>
      </c>
      <c r="K73" s="80">
        <v>0</v>
      </c>
      <c r="L73" s="76">
        <f t="shared" si="2"/>
        <v>17675</v>
      </c>
      <c r="M73" s="84"/>
      <c r="N73" s="99">
        <v>83</v>
      </c>
      <c r="O73" s="50">
        <f t="shared" si="6"/>
        <v>1467025</v>
      </c>
      <c r="P73" s="50">
        <f t="shared" si="7"/>
        <v>1467025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2436</v>
      </c>
      <c r="E75" s="24"/>
      <c r="F75" s="24"/>
      <c r="G75" s="16">
        <f t="shared" si="0"/>
        <v>2436</v>
      </c>
      <c r="H75" s="24">
        <v>310</v>
      </c>
      <c r="I75" s="24"/>
      <c r="J75" s="76">
        <f t="shared" si="5"/>
        <v>2126</v>
      </c>
      <c r="K75" s="80">
        <v>273</v>
      </c>
      <c r="L75" s="76">
        <f t="shared" si="2"/>
        <v>2399</v>
      </c>
      <c r="M75" s="86"/>
      <c r="N75" s="99">
        <v>16</v>
      </c>
      <c r="O75" s="50">
        <f t="shared" si="6"/>
        <v>38384</v>
      </c>
      <c r="P75" s="50">
        <f t="shared" si="7"/>
        <v>34016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306</v>
      </c>
      <c r="E76" s="24"/>
      <c r="F76" s="24"/>
      <c r="G76" s="16">
        <f t="shared" si="0"/>
        <v>306</v>
      </c>
      <c r="H76" s="24">
        <v>1</v>
      </c>
      <c r="I76" s="24"/>
      <c r="J76" s="76">
        <f t="shared" si="5"/>
        <v>305</v>
      </c>
      <c r="K76" s="80">
        <v>-250</v>
      </c>
      <c r="L76" s="76">
        <f t="shared" si="2"/>
        <v>55</v>
      </c>
      <c r="M76" s="30"/>
      <c r="N76" s="99">
        <v>400</v>
      </c>
      <c r="O76" s="50">
        <f t="shared" si="6"/>
        <v>22000</v>
      </c>
      <c r="P76" s="50">
        <f t="shared" si="7"/>
        <v>122000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308</v>
      </c>
      <c r="E78" s="24"/>
      <c r="F78" s="24"/>
      <c r="G78" s="16">
        <f t="shared" si="0"/>
        <v>308</v>
      </c>
      <c r="H78" s="24"/>
      <c r="I78" s="24"/>
      <c r="J78" s="76">
        <f t="shared" si="5"/>
        <v>308</v>
      </c>
      <c r="K78" s="80">
        <v>100</v>
      </c>
      <c r="L78" s="76">
        <f t="shared" si="2"/>
        <v>408</v>
      </c>
      <c r="M78" s="86"/>
      <c r="N78" s="99">
        <v>900</v>
      </c>
      <c r="O78" s="50">
        <f t="shared" si="6"/>
        <v>367200</v>
      </c>
      <c r="P78" s="50">
        <f t="shared" si="7"/>
        <v>277200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5013</v>
      </c>
      <c r="E83" s="98"/>
      <c r="F83" s="24"/>
      <c r="G83" s="16">
        <f t="shared" si="8"/>
        <v>5013</v>
      </c>
      <c r="H83" s="24"/>
      <c r="I83" s="95"/>
      <c r="J83" s="76">
        <f t="shared" si="5"/>
        <v>5013</v>
      </c>
      <c r="K83" s="81">
        <v>0</v>
      </c>
      <c r="L83" s="76">
        <f t="shared" si="2"/>
        <v>5013</v>
      </c>
      <c r="M83" s="85"/>
      <c r="N83" s="100">
        <v>64</v>
      </c>
      <c r="O83" s="50">
        <f t="shared" si="6"/>
        <v>320832</v>
      </c>
      <c r="P83" s="50">
        <f t="shared" si="7"/>
        <v>320832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37</v>
      </c>
      <c r="E84" s="89"/>
      <c r="F84" s="12"/>
      <c r="G84" s="45">
        <f t="shared" si="8"/>
        <v>37</v>
      </c>
      <c r="H84" s="12">
        <v>2</v>
      </c>
      <c r="I84" s="94"/>
      <c r="J84" s="82">
        <f t="shared" ref="J84:J97" si="9">D84+E84-H84-I84</f>
        <v>35</v>
      </c>
      <c r="K84" s="96">
        <v>0</v>
      </c>
      <c r="L84" s="82">
        <f t="shared" si="2"/>
        <v>35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277</v>
      </c>
      <c r="E85" s="90"/>
      <c r="F85" s="11"/>
      <c r="G85" s="16">
        <f t="shared" si="8"/>
        <v>277</v>
      </c>
      <c r="H85" s="88">
        <v>1</v>
      </c>
      <c r="I85" s="11"/>
      <c r="J85" s="76">
        <f t="shared" si="9"/>
        <v>276</v>
      </c>
      <c r="K85" s="97">
        <v>500</v>
      </c>
      <c r="L85" s="76">
        <f t="shared" si="2"/>
        <v>776</v>
      </c>
      <c r="M85" s="86"/>
      <c r="N85" s="99">
        <v>350</v>
      </c>
      <c r="O85" s="50">
        <f t="shared" si="6"/>
        <v>271600</v>
      </c>
      <c r="P85" s="50">
        <f t="shared" si="7"/>
        <v>96600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391</v>
      </c>
      <c r="E86" s="90"/>
      <c r="F86" s="11"/>
      <c r="G86" s="16">
        <f t="shared" si="8"/>
        <v>391</v>
      </c>
      <c r="H86" s="88">
        <v>2</v>
      </c>
      <c r="I86" s="11"/>
      <c r="J86" s="76">
        <f t="shared" si="9"/>
        <v>389</v>
      </c>
      <c r="K86" s="97">
        <v>300</v>
      </c>
      <c r="L86" s="76">
        <f t="shared" si="2"/>
        <v>689</v>
      </c>
      <c r="M86" s="84"/>
      <c r="N86" s="99">
        <v>165</v>
      </c>
      <c r="O86" s="50">
        <f t="shared" si="6"/>
        <v>113685</v>
      </c>
      <c r="P86" s="50">
        <f t="shared" si="7"/>
        <v>64185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260</v>
      </c>
      <c r="E87" s="11"/>
      <c r="F87" s="11"/>
      <c r="G87" s="16">
        <f t="shared" si="8"/>
        <v>260</v>
      </c>
      <c r="H87" s="88"/>
      <c r="I87" s="11"/>
      <c r="J87" s="76">
        <f t="shared" si="9"/>
        <v>260</v>
      </c>
      <c r="K87" s="97">
        <v>-1</v>
      </c>
      <c r="L87" s="76">
        <f t="shared" si="2"/>
        <v>259</v>
      </c>
      <c r="M87" s="86"/>
      <c r="N87" s="99">
        <v>630</v>
      </c>
      <c r="O87" s="50">
        <f t="shared" si="6"/>
        <v>163170</v>
      </c>
      <c r="P87" s="50">
        <f t="shared" si="7"/>
        <v>163800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16</v>
      </c>
      <c r="E88" s="11"/>
      <c r="F88" s="11"/>
      <c r="G88" s="16">
        <f t="shared" si="8"/>
        <v>16</v>
      </c>
      <c r="H88" s="88"/>
      <c r="I88" s="11"/>
      <c r="J88" s="76">
        <f t="shared" si="9"/>
        <v>16</v>
      </c>
      <c r="K88" s="97">
        <v>0</v>
      </c>
      <c r="L88" s="76">
        <f t="shared" ref="L88:L97" si="10">J88+K88</f>
        <v>16</v>
      </c>
      <c r="M88" s="86"/>
      <c r="N88" s="99">
        <v>285</v>
      </c>
      <c r="O88" s="50">
        <f t="shared" si="6"/>
        <v>4560</v>
      </c>
      <c r="P88" s="50">
        <f t="shared" si="7"/>
        <v>4560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38</v>
      </c>
      <c r="E89" s="88"/>
      <c r="F89" s="11"/>
      <c r="G89" s="16">
        <f t="shared" si="8"/>
        <v>38</v>
      </c>
      <c r="H89" s="88"/>
      <c r="I89" s="11"/>
      <c r="J89" s="76">
        <f t="shared" si="9"/>
        <v>38</v>
      </c>
      <c r="K89" s="97">
        <v>0</v>
      </c>
      <c r="L89" s="76">
        <f t="shared" si="10"/>
        <v>38</v>
      </c>
      <c r="M89" s="86"/>
      <c r="N89" s="99">
        <v>205</v>
      </c>
      <c r="O89" s="50">
        <f t="shared" si="6"/>
        <v>7790</v>
      </c>
      <c r="P89" s="50">
        <f t="shared" si="7"/>
        <v>7790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356</v>
      </c>
      <c r="E92" s="88"/>
      <c r="F92" s="11"/>
      <c r="G92" s="16">
        <f t="shared" si="8"/>
        <v>356</v>
      </c>
      <c r="H92" s="88">
        <v>23</v>
      </c>
      <c r="I92" s="11"/>
      <c r="J92" s="83">
        <f t="shared" si="9"/>
        <v>333</v>
      </c>
      <c r="K92" s="97">
        <v>0</v>
      </c>
      <c r="L92" s="76">
        <f t="shared" si="10"/>
        <v>333</v>
      </c>
      <c r="M92" s="86"/>
      <c r="N92" s="99">
        <v>113</v>
      </c>
      <c r="O92" s="50">
        <f t="shared" si="6"/>
        <v>37629</v>
      </c>
      <c r="P92" s="50">
        <f t="shared" si="7"/>
        <v>37629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229</v>
      </c>
      <c r="E94" s="88"/>
      <c r="F94" s="11"/>
      <c r="G94" s="16">
        <f t="shared" si="8"/>
        <v>229</v>
      </c>
      <c r="H94" s="88"/>
      <c r="I94" s="11"/>
      <c r="J94" s="83">
        <f t="shared" si="9"/>
        <v>229</v>
      </c>
      <c r="K94" s="97">
        <v>-50</v>
      </c>
      <c r="L94" s="76">
        <f t="shared" si="10"/>
        <v>179</v>
      </c>
      <c r="M94" s="86"/>
      <c r="N94" s="99">
        <v>950</v>
      </c>
      <c r="O94" s="50">
        <f t="shared" si="6"/>
        <v>170050</v>
      </c>
      <c r="P94" s="50">
        <f t="shared" si="7"/>
        <v>217550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160</v>
      </c>
      <c r="D97" s="90">
        <v>0</v>
      </c>
      <c r="E97" s="88">
        <v>5</v>
      </c>
      <c r="F97" s="11"/>
      <c r="G97" s="16">
        <f t="shared" si="8"/>
        <v>5</v>
      </c>
      <c r="H97" s="88">
        <v>3</v>
      </c>
      <c r="I97" s="11"/>
      <c r="J97" s="83">
        <f t="shared" si="9"/>
        <v>2</v>
      </c>
      <c r="K97" s="97">
        <v>0</v>
      </c>
      <c r="L97" s="76">
        <f t="shared" si="10"/>
        <v>2</v>
      </c>
      <c r="M97" s="86"/>
      <c r="N97" s="99">
        <v>1750</v>
      </c>
      <c r="O97" s="50">
        <f t="shared" si="6"/>
        <v>3500</v>
      </c>
      <c r="P97" s="50">
        <f t="shared" si="7"/>
        <v>3500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1641524.2549999999</v>
      </c>
      <c r="E98" s="27">
        <f t="shared" ref="E98:L98" si="11">SUM(E6:E97)</f>
        <v>263192</v>
      </c>
      <c r="F98" s="27">
        <f t="shared" si="11"/>
        <v>0</v>
      </c>
      <c r="G98" s="27">
        <f t="shared" si="11"/>
        <v>1904716.2549999999</v>
      </c>
      <c r="H98" s="27">
        <f t="shared" si="11"/>
        <v>28386</v>
      </c>
      <c r="I98" s="27">
        <f t="shared" si="11"/>
        <v>0</v>
      </c>
      <c r="J98" s="27">
        <f t="shared" si="11"/>
        <v>1876330.2549999999</v>
      </c>
      <c r="K98" s="27">
        <f t="shared" si="11"/>
        <v>-575748</v>
      </c>
      <c r="L98" s="27">
        <f t="shared" si="11"/>
        <v>1300582.2549999999</v>
      </c>
      <c r="M98" s="27">
        <f>SUM(M6:M96)</f>
        <v>0</v>
      </c>
      <c r="N98" s="51"/>
      <c r="O98" s="51">
        <f t="shared" ref="O98" si="12">SUM(O6:O97)</f>
        <v>49049345.010000005</v>
      </c>
      <c r="P98" s="51">
        <f>SUM(P6:P97)</f>
        <v>61223019.710000001</v>
      </c>
      <c r="Q98" s="57">
        <f>O98-P98</f>
        <v>-12173674.699999996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22" t="s">
        <v>115</v>
      </c>
      <c r="M100" s="122"/>
      <c r="O100" s="55" t="s">
        <v>110</v>
      </c>
      <c r="P100" s="54">
        <v>79909923</v>
      </c>
    </row>
    <row r="101" spans="1:22">
      <c r="P101" s="54">
        <f>P100-P98</f>
        <v>18686903.289999999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8" activePane="bottomLeft" state="frozen"/>
      <selection pane="bottomLeft" activeCell="Q28" sqref="Q28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162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67387</v>
      </c>
      <c r="E6" s="15"/>
      <c r="F6" s="16"/>
      <c r="G6" s="15">
        <f>D6+E6-F6</f>
        <v>67387</v>
      </c>
      <c r="H6" s="15">
        <v>22572</v>
      </c>
      <c r="I6" s="16"/>
      <c r="J6" s="15">
        <f>G6-H6-I6</f>
        <v>44815</v>
      </c>
      <c r="K6" s="15">
        <v>0</v>
      </c>
      <c r="L6" s="15">
        <f>J6+K6</f>
        <v>44815</v>
      </c>
      <c r="M6" s="30" t="s">
        <v>75</v>
      </c>
      <c r="N6" s="99">
        <v>21.5</v>
      </c>
      <c r="O6" s="50">
        <f>L6*N6</f>
        <v>963522.5</v>
      </c>
      <c r="P6" s="50">
        <f>J6*N6</f>
        <v>963522.5</v>
      </c>
      <c r="Q6" s="43">
        <f>O6-P6</f>
        <v>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74213</v>
      </c>
      <c r="E7" s="15">
        <v>15450</v>
      </c>
      <c r="F7" s="15">
        <v>40</v>
      </c>
      <c r="G7" s="15">
        <f t="shared" ref="G7:G80" si="0">D7+E7-F7</f>
        <v>89623</v>
      </c>
      <c r="H7" s="15">
        <v>11177</v>
      </c>
      <c r="I7" s="15"/>
      <c r="J7" s="15">
        <f t="shared" ref="J7:J70" si="1">G7-H7-I7</f>
        <v>78446</v>
      </c>
      <c r="K7" s="15">
        <v>-5000</v>
      </c>
      <c r="L7" s="15">
        <f t="shared" ref="L7:L87" si="2">J7+K7</f>
        <v>73446</v>
      </c>
      <c r="M7" s="30"/>
      <c r="N7" s="99">
        <v>38</v>
      </c>
      <c r="O7" s="50">
        <f t="shared" ref="O7:O70" si="3">L7*N7</f>
        <v>2790948</v>
      </c>
      <c r="P7" s="50">
        <f t="shared" ref="P7:P70" si="4">J7*N7</f>
        <v>2980948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89181</v>
      </c>
      <c r="E8" s="15"/>
      <c r="F8" s="15"/>
      <c r="G8" s="15">
        <f t="shared" si="0"/>
        <v>89181</v>
      </c>
      <c r="H8" s="15">
        <v>2043</v>
      </c>
      <c r="I8" s="15"/>
      <c r="J8" s="15">
        <f t="shared" si="1"/>
        <v>87138</v>
      </c>
      <c r="K8" s="15">
        <v>0</v>
      </c>
      <c r="L8" s="15">
        <f t="shared" si="2"/>
        <v>87138</v>
      </c>
      <c r="M8" s="30"/>
      <c r="N8" s="99">
        <v>12</v>
      </c>
      <c r="O8" s="50">
        <f t="shared" si="3"/>
        <v>1045656</v>
      </c>
      <c r="P8" s="50">
        <f t="shared" si="4"/>
        <v>1045656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789920</v>
      </c>
      <c r="E10" s="15"/>
      <c r="F10" s="15"/>
      <c r="G10" s="15">
        <f t="shared" si="0"/>
        <v>789920</v>
      </c>
      <c r="H10" s="15">
        <v>1264</v>
      </c>
      <c r="I10" s="15"/>
      <c r="J10" s="15">
        <f t="shared" si="1"/>
        <v>788656</v>
      </c>
      <c r="K10" s="15">
        <v>-607000</v>
      </c>
      <c r="L10" s="15">
        <f t="shared" si="2"/>
        <v>181656</v>
      </c>
      <c r="M10" s="30"/>
      <c r="N10" s="99">
        <v>23.09</v>
      </c>
      <c r="O10" s="50">
        <f t="shared" si="3"/>
        <v>4194437.04</v>
      </c>
      <c r="P10" s="50">
        <f t="shared" si="4"/>
        <v>18210067.039999999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1952</v>
      </c>
      <c r="E11" s="15"/>
      <c r="F11" s="15"/>
      <c r="G11" s="15">
        <f t="shared" si="0"/>
        <v>1952</v>
      </c>
      <c r="H11" s="15">
        <v>2149</v>
      </c>
      <c r="I11" s="15"/>
      <c r="J11" s="15">
        <f t="shared" si="1"/>
        <v>-197</v>
      </c>
      <c r="K11" s="15">
        <v>2000</v>
      </c>
      <c r="L11" s="15">
        <f t="shared" si="2"/>
        <v>1803</v>
      </c>
      <c r="M11" s="30" t="s">
        <v>75</v>
      </c>
      <c r="N11" s="99">
        <v>16.5</v>
      </c>
      <c r="O11" s="50">
        <f t="shared" si="3"/>
        <v>29749.5</v>
      </c>
      <c r="P11" s="50">
        <f t="shared" si="4"/>
        <v>-3250.5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-1569</v>
      </c>
      <c r="E13" s="15"/>
      <c r="F13" s="15"/>
      <c r="G13" s="15">
        <f t="shared" si="0"/>
        <v>-1569</v>
      </c>
      <c r="H13" s="15">
        <v>170</v>
      </c>
      <c r="I13" s="15"/>
      <c r="J13" s="15">
        <f t="shared" si="1"/>
        <v>-1739</v>
      </c>
      <c r="K13" s="15">
        <v>5000</v>
      </c>
      <c r="L13" s="15">
        <f t="shared" si="2"/>
        <v>3261</v>
      </c>
      <c r="M13" s="30" t="s">
        <v>75</v>
      </c>
      <c r="N13" s="99">
        <v>27.5</v>
      </c>
      <c r="O13" s="50">
        <f t="shared" si="3"/>
        <v>89677.5</v>
      </c>
      <c r="P13" s="50">
        <f t="shared" si="4"/>
        <v>-47822.5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10958</v>
      </c>
      <c r="E14" s="15"/>
      <c r="F14" s="15"/>
      <c r="G14" s="15">
        <f t="shared" si="0"/>
        <v>10958</v>
      </c>
      <c r="H14" s="15">
        <v>88</v>
      </c>
      <c r="I14" s="16"/>
      <c r="J14" s="15">
        <f t="shared" si="1"/>
        <v>10870</v>
      </c>
      <c r="K14" s="15">
        <v>-1000</v>
      </c>
      <c r="L14" s="15">
        <f t="shared" si="2"/>
        <v>9870</v>
      </c>
      <c r="M14" s="30"/>
      <c r="N14" s="99">
        <v>59</v>
      </c>
      <c r="O14" s="50">
        <f t="shared" si="3"/>
        <v>582330</v>
      </c>
      <c r="P14" s="50">
        <f t="shared" si="4"/>
        <v>641330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17419</v>
      </c>
      <c r="E16" s="29"/>
      <c r="F16" s="15"/>
      <c r="G16" s="15">
        <f t="shared" si="0"/>
        <v>17419</v>
      </c>
      <c r="H16" s="15">
        <v>566</v>
      </c>
      <c r="I16" s="16"/>
      <c r="J16" s="15">
        <f t="shared" si="1"/>
        <v>16853</v>
      </c>
      <c r="K16" s="15">
        <v>0</v>
      </c>
      <c r="L16" s="15">
        <f>J16+K16</f>
        <v>16853</v>
      </c>
      <c r="M16" s="30"/>
      <c r="N16" s="99">
        <v>43.25</v>
      </c>
      <c r="O16" s="50">
        <f t="shared" si="3"/>
        <v>728892.25</v>
      </c>
      <c r="P16" s="50">
        <f t="shared" si="4"/>
        <v>728892.25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14211.439999999999</v>
      </c>
      <c r="E17" s="15"/>
      <c r="F17" s="15"/>
      <c r="G17" s="15">
        <f t="shared" si="0"/>
        <v>14211.439999999999</v>
      </c>
      <c r="H17" s="15"/>
      <c r="I17" s="16"/>
      <c r="J17" s="15">
        <f t="shared" si="1"/>
        <v>14211.439999999999</v>
      </c>
      <c r="K17" s="15">
        <v>0</v>
      </c>
      <c r="L17" s="15">
        <f t="shared" si="2"/>
        <v>14211.439999999999</v>
      </c>
      <c r="M17" s="31"/>
      <c r="N17" s="99">
        <v>53</v>
      </c>
      <c r="O17" s="50">
        <f t="shared" si="3"/>
        <v>753206.32</v>
      </c>
      <c r="P17" s="50">
        <f t="shared" si="4"/>
        <v>753206.32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5379</v>
      </c>
      <c r="E19" s="15"/>
      <c r="F19" s="15"/>
      <c r="G19" s="15">
        <f t="shared" si="0"/>
        <v>5379</v>
      </c>
      <c r="H19" s="15"/>
      <c r="I19" s="16"/>
      <c r="J19" s="15">
        <f t="shared" si="1"/>
        <v>5379</v>
      </c>
      <c r="K19" s="15">
        <v>1000</v>
      </c>
      <c r="L19" s="15">
        <f t="shared" si="2"/>
        <v>6379</v>
      </c>
      <c r="M19" s="30"/>
      <c r="N19" s="99">
        <v>22.8</v>
      </c>
      <c r="O19" s="50">
        <f t="shared" si="3"/>
        <v>145441.20000000001</v>
      </c>
      <c r="P19" s="50">
        <f t="shared" si="4"/>
        <v>122641.2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19347</v>
      </c>
      <c r="E20" s="15"/>
      <c r="F20" s="15"/>
      <c r="G20" s="15">
        <f t="shared" si="0"/>
        <v>19347</v>
      </c>
      <c r="H20" s="15"/>
      <c r="I20" s="16"/>
      <c r="J20" s="15">
        <f t="shared" si="1"/>
        <v>19347</v>
      </c>
      <c r="K20" s="15">
        <v>0</v>
      </c>
      <c r="L20" s="15">
        <f t="shared" si="2"/>
        <v>19347</v>
      </c>
      <c r="M20" s="30" t="s">
        <v>75</v>
      </c>
      <c r="N20" s="99">
        <v>20</v>
      </c>
      <c r="O20" s="50">
        <f t="shared" si="3"/>
        <v>386940</v>
      </c>
      <c r="P20" s="50">
        <f t="shared" si="4"/>
        <v>386940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643</v>
      </c>
      <c r="E21" s="15"/>
      <c r="F21" s="15"/>
      <c r="G21" s="15">
        <f t="shared" si="0"/>
        <v>643</v>
      </c>
      <c r="H21" s="15">
        <v>87</v>
      </c>
      <c r="I21" s="16"/>
      <c r="J21" s="15">
        <f t="shared" si="1"/>
        <v>556</v>
      </c>
      <c r="K21" s="15">
        <v>0</v>
      </c>
      <c r="L21" s="15">
        <f t="shared" si="2"/>
        <v>556</v>
      </c>
      <c r="M21" s="30"/>
      <c r="N21" s="99">
        <v>8.5</v>
      </c>
      <c r="O21" s="50">
        <f t="shared" si="3"/>
        <v>4726</v>
      </c>
      <c r="P21" s="50">
        <f t="shared" si="4"/>
        <v>4726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363792</v>
      </c>
      <c r="E22" s="15"/>
      <c r="F22" s="15"/>
      <c r="G22" s="15">
        <f t="shared" si="0"/>
        <v>363792</v>
      </c>
      <c r="H22" s="15">
        <v>2179</v>
      </c>
      <c r="I22" s="16"/>
      <c r="J22" s="15">
        <f t="shared" si="1"/>
        <v>361613</v>
      </c>
      <c r="K22" s="15">
        <v>8000</v>
      </c>
      <c r="L22" s="15">
        <f t="shared" si="2"/>
        <v>369613</v>
      </c>
      <c r="M22" s="30"/>
      <c r="N22" s="99">
        <v>8.5</v>
      </c>
      <c r="O22" s="50">
        <f t="shared" si="3"/>
        <v>3141710.5</v>
      </c>
      <c r="P22" s="50">
        <f t="shared" si="4"/>
        <v>3073710.5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4190</v>
      </c>
      <c r="E23" s="15"/>
      <c r="F23" s="15"/>
      <c r="G23" s="15">
        <f t="shared" si="0"/>
        <v>4190</v>
      </c>
      <c r="H23" s="15">
        <v>621</v>
      </c>
      <c r="I23" s="16"/>
      <c r="J23" s="15">
        <f t="shared" si="1"/>
        <v>3569</v>
      </c>
      <c r="K23" s="15">
        <v>1500</v>
      </c>
      <c r="L23" s="15">
        <f t="shared" si="2"/>
        <v>5069</v>
      </c>
      <c r="M23" s="30" t="s">
        <v>75</v>
      </c>
      <c r="N23" s="99">
        <v>82</v>
      </c>
      <c r="O23" s="50">
        <f t="shared" si="3"/>
        <v>415658</v>
      </c>
      <c r="P23" s="50">
        <f t="shared" si="4"/>
        <v>292658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7794</v>
      </c>
      <c r="E24" s="29"/>
      <c r="F24" s="29"/>
      <c r="G24" s="15">
        <f t="shared" si="0"/>
        <v>7794</v>
      </c>
      <c r="H24" s="15">
        <v>638</v>
      </c>
      <c r="I24" s="16"/>
      <c r="J24" s="15">
        <f t="shared" si="1"/>
        <v>7156</v>
      </c>
      <c r="K24" s="15">
        <v>2713</v>
      </c>
      <c r="L24" s="15">
        <f t="shared" si="2"/>
        <v>9869</v>
      </c>
      <c r="M24" s="30"/>
      <c r="N24" s="99">
        <v>22.1</v>
      </c>
      <c r="O24" s="50">
        <f t="shared" si="3"/>
        <v>218104.90000000002</v>
      </c>
      <c r="P24" s="50">
        <f t="shared" si="4"/>
        <v>158147.6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155</v>
      </c>
      <c r="D26" s="15">
        <v>843</v>
      </c>
      <c r="E26" s="15">
        <v>12770</v>
      </c>
      <c r="F26" s="15">
        <v>55</v>
      </c>
      <c r="G26" s="15">
        <f t="shared" si="0"/>
        <v>13558</v>
      </c>
      <c r="H26" s="15">
        <v>150</v>
      </c>
      <c r="I26" s="16"/>
      <c r="J26" s="76">
        <f t="shared" si="1"/>
        <v>13408</v>
      </c>
      <c r="K26" s="76">
        <v>46</v>
      </c>
      <c r="L26" s="76">
        <f t="shared" si="2"/>
        <v>13454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161</v>
      </c>
      <c r="D29" s="15">
        <v>346</v>
      </c>
      <c r="E29" s="15"/>
      <c r="F29" s="15"/>
      <c r="G29" s="15">
        <f t="shared" si="0"/>
        <v>346</v>
      </c>
      <c r="H29" s="15"/>
      <c r="I29" s="16"/>
      <c r="J29" s="76">
        <f t="shared" si="1"/>
        <v>346</v>
      </c>
      <c r="K29" s="76">
        <v>0</v>
      </c>
      <c r="L29" s="76">
        <f t="shared" si="2"/>
        <v>346</v>
      </c>
      <c r="M29" s="78"/>
      <c r="N29" s="99">
        <v>72</v>
      </c>
      <c r="O29" s="50">
        <f t="shared" si="3"/>
        <v>24912</v>
      </c>
      <c r="P29" s="50">
        <f t="shared" si="4"/>
        <v>24912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9990</v>
      </c>
      <c r="E31" s="15"/>
      <c r="F31" s="15"/>
      <c r="G31" s="15">
        <f t="shared" si="0"/>
        <v>9990</v>
      </c>
      <c r="H31" s="15">
        <v>49</v>
      </c>
      <c r="I31" s="16"/>
      <c r="J31" s="76">
        <f t="shared" si="1"/>
        <v>9941</v>
      </c>
      <c r="K31" s="76">
        <v>0</v>
      </c>
      <c r="L31" s="76">
        <f t="shared" si="2"/>
        <v>9941</v>
      </c>
      <c r="M31" s="78"/>
      <c r="N31" s="99">
        <v>60</v>
      </c>
      <c r="O31" s="50">
        <f t="shared" si="3"/>
        <v>596460</v>
      </c>
      <c r="P31" s="50">
        <f t="shared" si="4"/>
        <v>596460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11330</v>
      </c>
      <c r="E32" s="15">
        <v>13560</v>
      </c>
      <c r="F32" s="15"/>
      <c r="G32" s="15">
        <f t="shared" si="0"/>
        <v>24890</v>
      </c>
      <c r="H32" s="15"/>
      <c r="I32" s="16"/>
      <c r="J32" s="76">
        <f t="shared" si="1"/>
        <v>24890</v>
      </c>
      <c r="K32" s="76"/>
      <c r="L32" s="76">
        <f t="shared" si="2"/>
        <v>24890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13165</v>
      </c>
      <c r="E33" s="15"/>
      <c r="F33" s="15"/>
      <c r="G33" s="15">
        <f t="shared" si="0"/>
        <v>13165</v>
      </c>
      <c r="H33" s="15">
        <v>61</v>
      </c>
      <c r="I33" s="16"/>
      <c r="J33" s="76">
        <f t="shared" si="1"/>
        <v>13104</v>
      </c>
      <c r="K33" s="76">
        <v>206</v>
      </c>
      <c r="L33" s="76">
        <f t="shared" si="2"/>
        <v>13310</v>
      </c>
      <c r="M33" s="30"/>
      <c r="N33" s="99">
        <v>12.49</v>
      </c>
      <c r="O33" s="50">
        <f t="shared" si="3"/>
        <v>166241.9</v>
      </c>
      <c r="P33" s="50">
        <f t="shared" si="4"/>
        <v>163668.96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158</v>
      </c>
      <c r="E34" s="15"/>
      <c r="F34" s="15"/>
      <c r="G34" s="15">
        <f t="shared" si="0"/>
        <v>158</v>
      </c>
      <c r="H34" s="15">
        <v>8</v>
      </c>
      <c r="I34" s="16"/>
      <c r="J34" s="76">
        <f t="shared" si="1"/>
        <v>150</v>
      </c>
      <c r="K34" s="76">
        <v>-50</v>
      </c>
      <c r="L34" s="76">
        <f t="shared" si="2"/>
        <v>100</v>
      </c>
      <c r="M34" s="77"/>
      <c r="N34" s="99">
        <v>435</v>
      </c>
      <c r="O34" s="50">
        <f t="shared" si="3"/>
        <v>43500</v>
      </c>
      <c r="P34" s="50">
        <f t="shared" si="4"/>
        <v>65250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104</v>
      </c>
      <c r="E35" s="15"/>
      <c r="F35" s="15"/>
      <c r="G35" s="15">
        <f t="shared" si="0"/>
        <v>104</v>
      </c>
      <c r="H35" s="15">
        <v>2</v>
      </c>
      <c r="I35" s="16"/>
      <c r="J35" s="76">
        <f>G35-H35-I35</f>
        <v>102</v>
      </c>
      <c r="K35" s="76">
        <v>-50</v>
      </c>
      <c r="L35" s="76">
        <f t="shared" si="2"/>
        <v>52</v>
      </c>
      <c r="M35" s="84"/>
      <c r="N35" s="99">
        <v>730</v>
      </c>
      <c r="O35" s="50">
        <f t="shared" si="3"/>
        <v>37960</v>
      </c>
      <c r="P35" s="50">
        <f t="shared" si="4"/>
        <v>74460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327</v>
      </c>
      <c r="E36" s="15"/>
      <c r="F36" s="15"/>
      <c r="G36" s="15">
        <f t="shared" si="0"/>
        <v>327</v>
      </c>
      <c r="H36" s="16">
        <v>1</v>
      </c>
      <c r="I36" s="16"/>
      <c r="J36" s="76">
        <f t="shared" si="1"/>
        <v>326</v>
      </c>
      <c r="K36" s="76">
        <v>-125</v>
      </c>
      <c r="L36" s="76">
        <f t="shared" si="2"/>
        <v>201</v>
      </c>
      <c r="M36" s="84"/>
      <c r="N36" s="99">
        <v>155</v>
      </c>
      <c r="O36" s="50">
        <f t="shared" si="3"/>
        <v>31155</v>
      </c>
      <c r="P36" s="50">
        <f t="shared" si="4"/>
        <v>50530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974</v>
      </c>
      <c r="E37" s="15"/>
      <c r="F37" s="15"/>
      <c r="G37" s="15">
        <f t="shared" si="0"/>
        <v>974</v>
      </c>
      <c r="H37" s="16"/>
      <c r="I37" s="16"/>
      <c r="J37" s="76">
        <f t="shared" si="1"/>
        <v>974</v>
      </c>
      <c r="K37" s="76">
        <v>0</v>
      </c>
      <c r="L37" s="76">
        <f t="shared" si="2"/>
        <v>974</v>
      </c>
      <c r="M37" s="84"/>
      <c r="N37" s="99">
        <v>125</v>
      </c>
      <c r="O37" s="50">
        <f t="shared" si="3"/>
        <v>121750</v>
      </c>
      <c r="P37" s="50">
        <f t="shared" si="4"/>
        <v>121750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280</v>
      </c>
      <c r="E39" s="15"/>
      <c r="F39" s="15"/>
      <c r="G39" s="15">
        <f t="shared" si="0"/>
        <v>280</v>
      </c>
      <c r="H39" s="16">
        <v>6</v>
      </c>
      <c r="I39" s="16"/>
      <c r="J39" s="76">
        <f t="shared" si="1"/>
        <v>274</v>
      </c>
      <c r="K39" s="76">
        <v>-70</v>
      </c>
      <c r="L39" s="76">
        <f t="shared" si="2"/>
        <v>204</v>
      </c>
      <c r="M39" s="84"/>
      <c r="N39" s="99">
        <v>975</v>
      </c>
      <c r="O39" s="50">
        <f t="shared" si="3"/>
        <v>198900</v>
      </c>
      <c r="P39" s="50">
        <f t="shared" si="4"/>
        <v>267150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653</v>
      </c>
      <c r="E41" s="15"/>
      <c r="F41" s="15"/>
      <c r="G41" s="15">
        <f t="shared" si="0"/>
        <v>653</v>
      </c>
      <c r="H41" s="16">
        <v>8</v>
      </c>
      <c r="I41" s="16"/>
      <c r="J41" s="76">
        <f t="shared" si="1"/>
        <v>645</v>
      </c>
      <c r="K41" s="76">
        <v>500</v>
      </c>
      <c r="L41" s="76">
        <f t="shared" si="2"/>
        <v>1145</v>
      </c>
      <c r="M41" s="84"/>
      <c r="N41" s="99">
        <v>125</v>
      </c>
      <c r="O41" s="50">
        <f t="shared" si="3"/>
        <v>143125</v>
      </c>
      <c r="P41" s="50">
        <f t="shared" si="4"/>
        <v>80625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10552</v>
      </c>
      <c r="E44" s="15"/>
      <c r="F44" s="15"/>
      <c r="G44" s="15">
        <f t="shared" si="0"/>
        <v>10552</v>
      </c>
      <c r="H44" s="16">
        <v>16</v>
      </c>
      <c r="I44" s="16"/>
      <c r="J44" s="76">
        <f t="shared" si="1"/>
        <v>10536</v>
      </c>
      <c r="K44" s="76">
        <v>2200</v>
      </c>
      <c r="L44" s="76">
        <f t="shared" si="2"/>
        <v>12736</v>
      </c>
      <c r="M44" s="84"/>
      <c r="N44" s="99">
        <v>80</v>
      </c>
      <c r="O44" s="50">
        <f t="shared" si="3"/>
        <v>1018880</v>
      </c>
      <c r="P44" s="50">
        <f t="shared" si="4"/>
        <v>842880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15729</v>
      </c>
      <c r="E46" s="15"/>
      <c r="F46" s="15"/>
      <c r="G46" s="15">
        <f t="shared" si="0"/>
        <v>15729</v>
      </c>
      <c r="H46" s="16">
        <v>79</v>
      </c>
      <c r="I46" s="16"/>
      <c r="J46" s="76">
        <f t="shared" si="1"/>
        <v>15650</v>
      </c>
      <c r="K46" s="76">
        <v>-180</v>
      </c>
      <c r="L46" s="76">
        <f t="shared" si="2"/>
        <v>15470</v>
      </c>
      <c r="M46" s="84"/>
      <c r="N46" s="99">
        <v>275</v>
      </c>
      <c r="O46" s="50">
        <f t="shared" si="3"/>
        <v>4254250</v>
      </c>
      <c r="P46" s="50">
        <f t="shared" si="4"/>
        <v>4303750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943</v>
      </c>
      <c r="E47" s="15"/>
      <c r="F47" s="15"/>
      <c r="G47" s="15">
        <f t="shared" si="0"/>
        <v>943</v>
      </c>
      <c r="H47" s="15">
        <v>3</v>
      </c>
      <c r="I47" s="16"/>
      <c r="J47" s="76">
        <f t="shared" si="1"/>
        <v>940</v>
      </c>
      <c r="K47" s="76">
        <v>0</v>
      </c>
      <c r="L47" s="76">
        <f t="shared" si="2"/>
        <v>940</v>
      </c>
      <c r="M47" s="84"/>
      <c r="N47" s="99">
        <v>250</v>
      </c>
      <c r="O47" s="50">
        <f t="shared" si="3"/>
        <v>235000</v>
      </c>
      <c r="P47" s="50">
        <f t="shared" si="4"/>
        <v>235000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289</v>
      </c>
      <c r="E49" s="15"/>
      <c r="F49" s="15"/>
      <c r="G49" s="15">
        <f t="shared" si="0"/>
        <v>289</v>
      </c>
      <c r="H49" s="15"/>
      <c r="I49" s="16"/>
      <c r="J49" s="76">
        <f t="shared" si="1"/>
        <v>289</v>
      </c>
      <c r="K49" s="76">
        <v>45</v>
      </c>
      <c r="L49" s="76">
        <f t="shared" si="2"/>
        <v>334</v>
      </c>
      <c r="M49" s="84"/>
      <c r="N49" s="99">
        <v>800</v>
      </c>
      <c r="O49" s="50">
        <f t="shared" si="3"/>
        <v>267200</v>
      </c>
      <c r="P49" s="50">
        <f t="shared" si="4"/>
        <v>231200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74</v>
      </c>
      <c r="E53" s="15"/>
      <c r="F53" s="15"/>
      <c r="G53" s="15">
        <f t="shared" si="0"/>
        <v>74</v>
      </c>
      <c r="H53" s="15"/>
      <c r="I53" s="20"/>
      <c r="J53" s="76">
        <f t="shared" si="1"/>
        <v>74</v>
      </c>
      <c r="K53" s="76">
        <v>0</v>
      </c>
      <c r="L53" s="76">
        <f t="shared" si="2"/>
        <v>74</v>
      </c>
      <c r="M53" s="84"/>
      <c r="N53" s="99">
        <v>1600</v>
      </c>
      <c r="O53" s="50">
        <f t="shared" si="3"/>
        <v>118400</v>
      </c>
      <c r="P53" s="50">
        <f t="shared" si="4"/>
        <v>118400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726</v>
      </c>
      <c r="E54" s="15"/>
      <c r="F54" s="15"/>
      <c r="G54" s="15">
        <f t="shared" si="0"/>
        <v>726</v>
      </c>
      <c r="H54" s="15">
        <v>7</v>
      </c>
      <c r="I54" s="16"/>
      <c r="J54" s="76">
        <f t="shared" si="1"/>
        <v>719</v>
      </c>
      <c r="K54" s="76">
        <v>-350</v>
      </c>
      <c r="L54" s="76">
        <f t="shared" si="2"/>
        <v>369</v>
      </c>
      <c r="M54" s="84"/>
      <c r="N54" s="99">
        <v>375</v>
      </c>
      <c r="O54" s="50">
        <f t="shared" si="3"/>
        <v>138375</v>
      </c>
      <c r="P54" s="50">
        <f t="shared" si="4"/>
        <v>269625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120</v>
      </c>
      <c r="E55" s="15"/>
      <c r="F55" s="15"/>
      <c r="G55" s="15">
        <f t="shared" si="0"/>
        <v>120</v>
      </c>
      <c r="H55" s="15">
        <v>3</v>
      </c>
      <c r="I55" s="21"/>
      <c r="J55" s="76">
        <f t="shared" si="1"/>
        <v>117</v>
      </c>
      <c r="K55" s="76">
        <v>9</v>
      </c>
      <c r="L55" s="76">
        <f t="shared" si="2"/>
        <v>126</v>
      </c>
      <c r="M55" s="30"/>
      <c r="N55" s="99">
        <v>425</v>
      </c>
      <c r="O55" s="50">
        <f t="shared" si="3"/>
        <v>53550</v>
      </c>
      <c r="P55" s="50">
        <f t="shared" si="4"/>
        <v>49725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429</v>
      </c>
      <c r="E56" s="15"/>
      <c r="F56" s="15"/>
      <c r="G56" s="15">
        <f t="shared" si="0"/>
        <v>429</v>
      </c>
      <c r="H56" s="15">
        <v>13</v>
      </c>
      <c r="I56" s="22"/>
      <c r="J56" s="76">
        <f t="shared" si="1"/>
        <v>416</v>
      </c>
      <c r="K56" s="76">
        <v>-200</v>
      </c>
      <c r="L56" s="76">
        <f t="shared" si="2"/>
        <v>216</v>
      </c>
      <c r="M56" s="84"/>
      <c r="N56" s="99">
        <v>390</v>
      </c>
      <c r="O56" s="50">
        <f t="shared" si="3"/>
        <v>84240</v>
      </c>
      <c r="P56" s="50">
        <f t="shared" si="4"/>
        <v>162240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-79</v>
      </c>
      <c r="E58" s="15"/>
      <c r="F58" s="15"/>
      <c r="G58" s="15">
        <f t="shared" si="0"/>
        <v>-79</v>
      </c>
      <c r="H58" s="15">
        <v>3</v>
      </c>
      <c r="I58" s="16"/>
      <c r="J58" s="76">
        <f t="shared" si="1"/>
        <v>-82</v>
      </c>
      <c r="K58" s="76">
        <v>50</v>
      </c>
      <c r="L58" s="76">
        <f t="shared" si="2"/>
        <v>-32</v>
      </c>
      <c r="M58" s="30"/>
      <c r="N58" s="99">
        <v>132</v>
      </c>
      <c r="O58" s="50">
        <f t="shared" si="3"/>
        <v>-4224</v>
      </c>
      <c r="P58" s="50">
        <f t="shared" si="4"/>
        <v>-10824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362</v>
      </c>
      <c r="E59" s="15"/>
      <c r="F59" s="15"/>
      <c r="G59" s="15">
        <f t="shared" si="0"/>
        <v>362</v>
      </c>
      <c r="H59" s="15">
        <v>6</v>
      </c>
      <c r="I59" s="16"/>
      <c r="J59" s="76">
        <f t="shared" si="1"/>
        <v>356</v>
      </c>
      <c r="K59" s="76">
        <v>0</v>
      </c>
      <c r="L59" s="76">
        <f t="shared" si="2"/>
        <v>356</v>
      </c>
      <c r="M59" s="84"/>
      <c r="N59" s="99">
        <v>570</v>
      </c>
      <c r="O59" s="50">
        <f t="shared" si="3"/>
        <v>202920</v>
      </c>
      <c r="P59" s="50">
        <f t="shared" si="4"/>
        <v>202920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5433</v>
      </c>
      <c r="E62" s="15"/>
      <c r="F62" s="15"/>
      <c r="G62" s="15">
        <f t="shared" si="0"/>
        <v>5433</v>
      </c>
      <c r="H62" s="15">
        <v>71</v>
      </c>
      <c r="I62" s="16"/>
      <c r="J62" s="76">
        <f t="shared" si="1"/>
        <v>5362</v>
      </c>
      <c r="K62" s="76">
        <v>187</v>
      </c>
      <c r="L62" s="76">
        <f t="shared" si="2"/>
        <v>5549</v>
      </c>
      <c r="M62" s="30"/>
      <c r="N62" s="99">
        <v>87.38</v>
      </c>
      <c r="O62" s="50">
        <f t="shared" si="3"/>
        <v>484871.62</v>
      </c>
      <c r="P62" s="50">
        <f t="shared" si="4"/>
        <v>468531.56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2</v>
      </c>
      <c r="E63" s="15"/>
      <c r="F63" s="15"/>
      <c r="G63" s="15">
        <f t="shared" si="0"/>
        <v>2</v>
      </c>
      <c r="H63" s="15">
        <v>3</v>
      </c>
      <c r="I63" s="16"/>
      <c r="J63" s="76">
        <f t="shared" si="1"/>
        <v>-1</v>
      </c>
      <c r="K63" s="76">
        <v>300</v>
      </c>
      <c r="L63" s="76">
        <f t="shared" si="2"/>
        <v>299</v>
      </c>
      <c r="M63" s="84"/>
      <c r="N63" s="99">
        <v>290</v>
      </c>
      <c r="O63" s="50">
        <f t="shared" si="3"/>
        <v>86710</v>
      </c>
      <c r="P63" s="50">
        <f t="shared" si="4"/>
        <v>-290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-8</v>
      </c>
      <c r="E64" s="23"/>
      <c r="F64" s="23"/>
      <c r="G64" s="23">
        <f t="shared" si="0"/>
        <v>-8</v>
      </c>
      <c r="H64" s="23"/>
      <c r="I64" s="23"/>
      <c r="J64" s="76">
        <f t="shared" si="1"/>
        <v>-8</v>
      </c>
      <c r="K64" s="79">
        <v>100</v>
      </c>
      <c r="L64" s="76">
        <f t="shared" si="2"/>
        <v>92</v>
      </c>
      <c r="M64" s="30"/>
      <c r="N64" s="99">
        <v>70</v>
      </c>
      <c r="O64" s="50">
        <f t="shared" si="3"/>
        <v>6440</v>
      </c>
      <c r="P64" s="50">
        <f t="shared" si="4"/>
        <v>-560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-49</v>
      </c>
      <c r="E65" s="24"/>
      <c r="F65" s="24"/>
      <c r="G65" s="16">
        <f t="shared" si="0"/>
        <v>-49</v>
      </c>
      <c r="H65" s="24">
        <v>29</v>
      </c>
      <c r="I65" s="24"/>
      <c r="J65" s="76">
        <f t="shared" si="1"/>
        <v>-78</v>
      </c>
      <c r="K65" s="80">
        <v>15</v>
      </c>
      <c r="L65" s="76">
        <f t="shared" si="2"/>
        <v>-63</v>
      </c>
      <c r="M65" s="86"/>
      <c r="N65" s="99">
        <v>240</v>
      </c>
      <c r="O65" s="50">
        <f t="shared" si="3"/>
        <v>-15120</v>
      </c>
      <c r="P65" s="50">
        <f t="shared" si="4"/>
        <v>-18720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309</v>
      </c>
      <c r="E66" s="24"/>
      <c r="F66" s="24"/>
      <c r="G66" s="16">
        <f t="shared" si="0"/>
        <v>309</v>
      </c>
      <c r="H66" s="24">
        <v>4</v>
      </c>
      <c r="I66" s="24"/>
      <c r="J66" s="76">
        <f t="shared" si="1"/>
        <v>305</v>
      </c>
      <c r="K66" s="81">
        <v>0</v>
      </c>
      <c r="L66" s="81">
        <f t="shared" si="2"/>
        <v>305</v>
      </c>
      <c r="M66" s="86"/>
      <c r="N66" s="99">
        <v>1100</v>
      </c>
      <c r="O66" s="50">
        <f t="shared" si="3"/>
        <v>335500</v>
      </c>
      <c r="P66" s="50">
        <f t="shared" si="4"/>
        <v>335500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296697</v>
      </c>
      <c r="E67" s="24"/>
      <c r="F67" s="24"/>
      <c r="G67" s="16">
        <f t="shared" si="0"/>
        <v>296697</v>
      </c>
      <c r="H67" s="24">
        <v>233</v>
      </c>
      <c r="I67" s="24"/>
      <c r="J67" s="76">
        <f t="shared" si="1"/>
        <v>296464</v>
      </c>
      <c r="K67" s="80">
        <v>2800</v>
      </c>
      <c r="L67" s="76">
        <f t="shared" si="2"/>
        <v>299264</v>
      </c>
      <c r="M67" s="84"/>
      <c r="N67" s="99">
        <v>53</v>
      </c>
      <c r="O67" s="50">
        <f t="shared" si="3"/>
        <v>15860992</v>
      </c>
      <c r="P67" s="50">
        <f t="shared" si="4"/>
        <v>15712592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157</v>
      </c>
      <c r="D69" s="16">
        <v>150</v>
      </c>
      <c r="E69" s="24"/>
      <c r="F69" s="24"/>
      <c r="G69" s="16">
        <f t="shared" si="0"/>
        <v>150</v>
      </c>
      <c r="H69" s="24"/>
      <c r="I69" s="24"/>
      <c r="J69" s="76">
        <f t="shared" si="1"/>
        <v>150</v>
      </c>
      <c r="K69" s="80">
        <v>0</v>
      </c>
      <c r="L69" s="76">
        <f t="shared" si="2"/>
        <v>150</v>
      </c>
      <c r="M69" s="84"/>
      <c r="N69" s="99">
        <v>1700</v>
      </c>
      <c r="O69" s="50">
        <f t="shared" si="3"/>
        <v>255000</v>
      </c>
      <c r="P69" s="50">
        <f t="shared" si="4"/>
        <v>255000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424</v>
      </c>
      <c r="E70" s="24"/>
      <c r="F70" s="24"/>
      <c r="G70" s="16">
        <f t="shared" si="0"/>
        <v>424</v>
      </c>
      <c r="H70" s="24"/>
      <c r="I70" s="24"/>
      <c r="J70" s="76">
        <f t="shared" si="1"/>
        <v>424</v>
      </c>
      <c r="K70" s="80">
        <v>-153</v>
      </c>
      <c r="L70" s="76">
        <f t="shared" si="2"/>
        <v>271</v>
      </c>
      <c r="M70" s="86"/>
      <c r="N70" s="99">
        <v>260</v>
      </c>
      <c r="O70" s="50">
        <f t="shared" si="3"/>
        <v>70460</v>
      </c>
      <c r="P70" s="50">
        <f t="shared" si="4"/>
        <v>110240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3109</v>
      </c>
      <c r="E72" s="24"/>
      <c r="F72" s="24"/>
      <c r="G72" s="16">
        <f t="shared" si="0"/>
        <v>3109</v>
      </c>
      <c r="H72" s="24">
        <v>32</v>
      </c>
      <c r="I72" s="24"/>
      <c r="J72" s="76">
        <f t="shared" si="5"/>
        <v>3077</v>
      </c>
      <c r="K72" s="80">
        <v>-200</v>
      </c>
      <c r="L72" s="76">
        <f t="shared" si="2"/>
        <v>2877</v>
      </c>
      <c r="M72" s="30"/>
      <c r="N72" s="99">
        <v>39</v>
      </c>
      <c r="O72" s="50">
        <f t="shared" si="6"/>
        <v>112203</v>
      </c>
      <c r="P72" s="50">
        <f t="shared" si="7"/>
        <v>120003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17675</v>
      </c>
      <c r="E73" s="24"/>
      <c r="F73" s="24"/>
      <c r="G73" s="16">
        <f t="shared" si="0"/>
        <v>17675</v>
      </c>
      <c r="H73" s="24">
        <v>71</v>
      </c>
      <c r="I73" s="42"/>
      <c r="J73" s="76">
        <f t="shared" si="5"/>
        <v>17604</v>
      </c>
      <c r="K73" s="80">
        <v>0</v>
      </c>
      <c r="L73" s="76">
        <f t="shared" si="2"/>
        <v>17604</v>
      </c>
      <c r="M73" s="84"/>
      <c r="N73" s="99">
        <v>83</v>
      </c>
      <c r="O73" s="50">
        <f t="shared" si="6"/>
        <v>1461132</v>
      </c>
      <c r="P73" s="50">
        <f t="shared" si="7"/>
        <v>1461132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2126</v>
      </c>
      <c r="E75" s="24"/>
      <c r="F75" s="24"/>
      <c r="G75" s="16">
        <f t="shared" si="0"/>
        <v>2126</v>
      </c>
      <c r="H75" s="24"/>
      <c r="I75" s="24"/>
      <c r="J75" s="76">
        <f t="shared" si="5"/>
        <v>2126</v>
      </c>
      <c r="K75" s="80">
        <v>273</v>
      </c>
      <c r="L75" s="76">
        <f t="shared" si="2"/>
        <v>2399</v>
      </c>
      <c r="M75" s="86"/>
      <c r="N75" s="99">
        <v>16</v>
      </c>
      <c r="O75" s="50">
        <f t="shared" si="6"/>
        <v>38384</v>
      </c>
      <c r="P75" s="50">
        <f t="shared" si="7"/>
        <v>34016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305</v>
      </c>
      <c r="E76" s="24"/>
      <c r="F76" s="24"/>
      <c r="G76" s="16">
        <f t="shared" si="0"/>
        <v>305</v>
      </c>
      <c r="H76" s="24">
        <v>4</v>
      </c>
      <c r="I76" s="24"/>
      <c r="J76" s="76">
        <f t="shared" si="5"/>
        <v>301</v>
      </c>
      <c r="K76" s="80">
        <v>-250</v>
      </c>
      <c r="L76" s="76">
        <f t="shared" si="2"/>
        <v>51</v>
      </c>
      <c r="M76" s="30"/>
      <c r="N76" s="99">
        <v>400</v>
      </c>
      <c r="O76" s="50">
        <f t="shared" si="6"/>
        <v>20400</v>
      </c>
      <c r="P76" s="50">
        <f t="shared" si="7"/>
        <v>120400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308</v>
      </c>
      <c r="E78" s="24"/>
      <c r="F78" s="24"/>
      <c r="G78" s="16">
        <f t="shared" si="0"/>
        <v>308</v>
      </c>
      <c r="H78" s="24">
        <v>6</v>
      </c>
      <c r="I78" s="24"/>
      <c r="J78" s="76">
        <f t="shared" si="5"/>
        <v>302</v>
      </c>
      <c r="K78" s="80">
        <v>100</v>
      </c>
      <c r="L78" s="76">
        <f t="shared" si="2"/>
        <v>402</v>
      </c>
      <c r="M78" s="86"/>
      <c r="N78" s="99">
        <v>900</v>
      </c>
      <c r="O78" s="50">
        <f t="shared" si="6"/>
        <v>361800</v>
      </c>
      <c r="P78" s="50">
        <f t="shared" si="7"/>
        <v>271800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5013</v>
      </c>
      <c r="E83" s="98">
        <v>9200</v>
      </c>
      <c r="F83" s="24"/>
      <c r="G83" s="16">
        <f t="shared" si="8"/>
        <v>14213</v>
      </c>
      <c r="H83" s="24"/>
      <c r="I83" s="95"/>
      <c r="J83" s="76">
        <f t="shared" si="5"/>
        <v>14213</v>
      </c>
      <c r="K83" s="81">
        <v>0</v>
      </c>
      <c r="L83" s="76">
        <f t="shared" si="2"/>
        <v>14213</v>
      </c>
      <c r="M83" s="85"/>
      <c r="N83" s="100">
        <v>64</v>
      </c>
      <c r="O83" s="50">
        <f t="shared" si="6"/>
        <v>909632</v>
      </c>
      <c r="P83" s="50">
        <f t="shared" si="7"/>
        <v>909632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35</v>
      </c>
      <c r="E84" s="89"/>
      <c r="F84" s="12"/>
      <c r="G84" s="45">
        <f t="shared" si="8"/>
        <v>35</v>
      </c>
      <c r="H84" s="12"/>
      <c r="I84" s="94"/>
      <c r="J84" s="82">
        <f t="shared" ref="J84:J97" si="9">D84+E84-H84-I84</f>
        <v>35</v>
      </c>
      <c r="K84" s="96">
        <v>0</v>
      </c>
      <c r="L84" s="82">
        <f t="shared" si="2"/>
        <v>35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276</v>
      </c>
      <c r="E85" s="90"/>
      <c r="F85" s="11"/>
      <c r="G85" s="16">
        <f t="shared" si="8"/>
        <v>276</v>
      </c>
      <c r="H85" s="88">
        <v>4</v>
      </c>
      <c r="I85" s="11"/>
      <c r="J85" s="76">
        <f t="shared" si="9"/>
        <v>272</v>
      </c>
      <c r="K85" s="97">
        <v>500</v>
      </c>
      <c r="L85" s="76">
        <f t="shared" si="2"/>
        <v>772</v>
      </c>
      <c r="M85" s="86"/>
      <c r="N85" s="99">
        <v>350</v>
      </c>
      <c r="O85" s="50">
        <f t="shared" si="6"/>
        <v>270200</v>
      </c>
      <c r="P85" s="50">
        <f t="shared" si="7"/>
        <v>95200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389</v>
      </c>
      <c r="E86" s="90"/>
      <c r="F86" s="11"/>
      <c r="G86" s="16">
        <f t="shared" si="8"/>
        <v>389</v>
      </c>
      <c r="H86" s="88">
        <v>5</v>
      </c>
      <c r="I86" s="11"/>
      <c r="J86" s="76">
        <f t="shared" si="9"/>
        <v>384</v>
      </c>
      <c r="K86" s="97">
        <v>300</v>
      </c>
      <c r="L86" s="76">
        <f t="shared" si="2"/>
        <v>684</v>
      </c>
      <c r="M86" s="84"/>
      <c r="N86" s="99">
        <v>165</v>
      </c>
      <c r="O86" s="50">
        <f t="shared" si="6"/>
        <v>112860</v>
      </c>
      <c r="P86" s="50">
        <f t="shared" si="7"/>
        <v>63360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260</v>
      </c>
      <c r="E87" s="11"/>
      <c r="F87" s="11"/>
      <c r="G87" s="16">
        <f t="shared" si="8"/>
        <v>260</v>
      </c>
      <c r="H87" s="88">
        <v>9</v>
      </c>
      <c r="I87" s="11"/>
      <c r="J87" s="76">
        <f t="shared" si="9"/>
        <v>251</v>
      </c>
      <c r="K87" s="97">
        <v>-1</v>
      </c>
      <c r="L87" s="76">
        <f t="shared" si="2"/>
        <v>250</v>
      </c>
      <c r="M87" s="86"/>
      <c r="N87" s="99">
        <v>630</v>
      </c>
      <c r="O87" s="50">
        <f t="shared" si="6"/>
        <v>157500</v>
      </c>
      <c r="P87" s="50">
        <f t="shared" si="7"/>
        <v>158130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16</v>
      </c>
      <c r="E88" s="11"/>
      <c r="F88" s="11"/>
      <c r="G88" s="16">
        <f t="shared" si="8"/>
        <v>16</v>
      </c>
      <c r="H88" s="88"/>
      <c r="I88" s="11"/>
      <c r="J88" s="76">
        <f t="shared" si="9"/>
        <v>16</v>
      </c>
      <c r="K88" s="97">
        <v>0</v>
      </c>
      <c r="L88" s="76">
        <f t="shared" ref="L88:L97" si="10">J88+K88</f>
        <v>16</v>
      </c>
      <c r="M88" s="86"/>
      <c r="N88" s="99">
        <v>285</v>
      </c>
      <c r="O88" s="50">
        <f t="shared" si="6"/>
        <v>4560</v>
      </c>
      <c r="P88" s="50">
        <f t="shared" si="7"/>
        <v>4560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38</v>
      </c>
      <c r="E89" s="88"/>
      <c r="F89" s="11"/>
      <c r="G89" s="16">
        <f t="shared" si="8"/>
        <v>38</v>
      </c>
      <c r="H89" s="88"/>
      <c r="I89" s="11"/>
      <c r="J89" s="76">
        <f t="shared" si="9"/>
        <v>38</v>
      </c>
      <c r="K89" s="97">
        <v>0</v>
      </c>
      <c r="L89" s="76">
        <f t="shared" si="10"/>
        <v>38</v>
      </c>
      <c r="M89" s="86"/>
      <c r="N89" s="99">
        <v>205</v>
      </c>
      <c r="O89" s="50">
        <f t="shared" si="6"/>
        <v>7790</v>
      </c>
      <c r="P89" s="50">
        <f t="shared" si="7"/>
        <v>7790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333</v>
      </c>
      <c r="E92" s="88"/>
      <c r="F92" s="11"/>
      <c r="G92" s="16">
        <f t="shared" si="8"/>
        <v>333</v>
      </c>
      <c r="H92" s="88"/>
      <c r="I92" s="11"/>
      <c r="J92" s="83">
        <f t="shared" si="9"/>
        <v>333</v>
      </c>
      <c r="K92" s="97">
        <v>0</v>
      </c>
      <c r="L92" s="76">
        <f t="shared" si="10"/>
        <v>333</v>
      </c>
      <c r="M92" s="86"/>
      <c r="N92" s="99">
        <v>113</v>
      </c>
      <c r="O92" s="50">
        <f t="shared" si="6"/>
        <v>37629</v>
      </c>
      <c r="P92" s="50">
        <f t="shared" si="7"/>
        <v>37629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229</v>
      </c>
      <c r="E94" s="88"/>
      <c r="F94" s="11"/>
      <c r="G94" s="16">
        <f t="shared" si="8"/>
        <v>229</v>
      </c>
      <c r="H94" s="88">
        <v>8</v>
      </c>
      <c r="I94" s="11"/>
      <c r="J94" s="83">
        <f t="shared" si="9"/>
        <v>221</v>
      </c>
      <c r="K94" s="97">
        <v>-50</v>
      </c>
      <c r="L94" s="76">
        <f t="shared" si="10"/>
        <v>171</v>
      </c>
      <c r="M94" s="86"/>
      <c r="N94" s="99">
        <v>950</v>
      </c>
      <c r="O94" s="50">
        <f t="shared" si="6"/>
        <v>162450</v>
      </c>
      <c r="P94" s="50">
        <f t="shared" si="7"/>
        <v>209950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160</v>
      </c>
      <c r="D97" s="90">
        <v>2</v>
      </c>
      <c r="E97" s="88"/>
      <c r="F97" s="11"/>
      <c r="G97" s="16">
        <f t="shared" si="8"/>
        <v>2</v>
      </c>
      <c r="H97" s="88"/>
      <c r="I97" s="11"/>
      <c r="J97" s="83">
        <f t="shared" si="9"/>
        <v>2</v>
      </c>
      <c r="K97" s="97">
        <v>0</v>
      </c>
      <c r="L97" s="76">
        <f t="shared" si="10"/>
        <v>2</v>
      </c>
      <c r="M97" s="86"/>
      <c r="N97" s="99">
        <v>1750</v>
      </c>
      <c r="O97" s="50">
        <f t="shared" si="6"/>
        <v>3500</v>
      </c>
      <c r="P97" s="50">
        <f t="shared" si="7"/>
        <v>3500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1876330.2549999999</v>
      </c>
      <c r="E98" s="27">
        <f t="shared" ref="E98:L98" si="11">SUM(E6:E97)</f>
        <v>50980</v>
      </c>
      <c r="F98" s="27">
        <f t="shared" si="11"/>
        <v>95</v>
      </c>
      <c r="G98" s="27">
        <f t="shared" si="11"/>
        <v>1927215.2549999999</v>
      </c>
      <c r="H98" s="27">
        <f t="shared" si="11"/>
        <v>44448</v>
      </c>
      <c r="I98" s="27">
        <f t="shared" si="11"/>
        <v>0</v>
      </c>
      <c r="J98" s="27">
        <f t="shared" si="11"/>
        <v>1882767.2549999999</v>
      </c>
      <c r="K98" s="27">
        <f t="shared" si="11"/>
        <v>-583748</v>
      </c>
      <c r="L98" s="27">
        <f t="shared" si="11"/>
        <v>1299019.2549999999</v>
      </c>
      <c r="M98" s="27">
        <f>SUM(M6:M96)</f>
        <v>0</v>
      </c>
      <c r="N98" s="51"/>
      <c r="O98" s="51">
        <f t="shared" ref="O98" si="12">SUM(O6:O97)</f>
        <v>48821304.579999998</v>
      </c>
      <c r="P98" s="51">
        <f>SUM(P6:P97)</f>
        <v>61166979.280000009</v>
      </c>
      <c r="Q98" s="57">
        <f>O98-P98</f>
        <v>-12345674.70000001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23" t="s">
        <v>115</v>
      </c>
      <c r="M100" s="123"/>
      <c r="O100" s="55" t="s">
        <v>110</v>
      </c>
      <c r="P100" s="54">
        <v>79909923</v>
      </c>
    </row>
    <row r="101" spans="1:22">
      <c r="P101" s="54">
        <f>P100-P98</f>
        <v>18742943.719999991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Q34" sqref="Q34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163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44815</v>
      </c>
      <c r="E6" s="15"/>
      <c r="F6" s="16"/>
      <c r="G6" s="15">
        <f>D6+E6-F6</f>
        <v>44815</v>
      </c>
      <c r="H6" s="15">
        <v>15610</v>
      </c>
      <c r="I6" s="16"/>
      <c r="J6" s="15">
        <f>G6-H6-I6</f>
        <v>29205</v>
      </c>
      <c r="K6" s="15">
        <v>0</v>
      </c>
      <c r="L6" s="15">
        <f>J6+K6</f>
        <v>29205</v>
      </c>
      <c r="M6" s="30" t="s">
        <v>75</v>
      </c>
      <c r="N6" s="99">
        <v>21.5</v>
      </c>
      <c r="O6" s="50">
        <f>L6*N6</f>
        <v>627907.5</v>
      </c>
      <c r="P6" s="50">
        <f>J6*N6</f>
        <v>627907.5</v>
      </c>
      <c r="Q6" s="43">
        <f>O6-P6</f>
        <v>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78446</v>
      </c>
      <c r="E7" s="15"/>
      <c r="F7" s="15"/>
      <c r="G7" s="15">
        <f t="shared" ref="G7:G80" si="0">D7+E7-F7</f>
        <v>78446</v>
      </c>
      <c r="H7" s="15">
        <v>7608</v>
      </c>
      <c r="I7" s="15"/>
      <c r="J7" s="15">
        <f t="shared" ref="J7:J70" si="1">G7-H7-I7</f>
        <v>70838</v>
      </c>
      <c r="K7" s="15">
        <v>-5000</v>
      </c>
      <c r="L7" s="15">
        <f t="shared" ref="L7:L87" si="2">J7+K7</f>
        <v>65838</v>
      </c>
      <c r="M7" s="30"/>
      <c r="N7" s="99">
        <v>38</v>
      </c>
      <c r="O7" s="50">
        <f t="shared" ref="O7:O70" si="3">L7*N7</f>
        <v>2501844</v>
      </c>
      <c r="P7" s="50">
        <f t="shared" ref="P7:P70" si="4">J7*N7</f>
        <v>2691844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87138</v>
      </c>
      <c r="E8" s="15"/>
      <c r="F8" s="15"/>
      <c r="G8" s="15">
        <f t="shared" si="0"/>
        <v>87138</v>
      </c>
      <c r="H8" s="15"/>
      <c r="I8" s="15"/>
      <c r="J8" s="15">
        <f t="shared" si="1"/>
        <v>87138</v>
      </c>
      <c r="K8" s="15">
        <v>0</v>
      </c>
      <c r="L8" s="15">
        <f t="shared" si="2"/>
        <v>87138</v>
      </c>
      <c r="M8" s="30"/>
      <c r="N8" s="99">
        <v>12</v>
      </c>
      <c r="O8" s="50">
        <f t="shared" si="3"/>
        <v>1045656</v>
      </c>
      <c r="P8" s="50">
        <f t="shared" si="4"/>
        <v>1045656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788656</v>
      </c>
      <c r="E10" s="15"/>
      <c r="F10" s="15"/>
      <c r="G10" s="15">
        <f t="shared" si="0"/>
        <v>788656</v>
      </c>
      <c r="H10" s="15">
        <v>1284</v>
      </c>
      <c r="I10" s="15"/>
      <c r="J10" s="15">
        <f t="shared" si="1"/>
        <v>787372</v>
      </c>
      <c r="K10" s="15">
        <v>-607000</v>
      </c>
      <c r="L10" s="15">
        <f t="shared" si="2"/>
        <v>180372</v>
      </c>
      <c r="M10" s="30"/>
      <c r="N10" s="99">
        <v>23.09</v>
      </c>
      <c r="O10" s="50">
        <f t="shared" si="3"/>
        <v>4164789.48</v>
      </c>
      <c r="P10" s="50">
        <f t="shared" si="4"/>
        <v>18180419.48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-197</v>
      </c>
      <c r="E11" s="15"/>
      <c r="F11" s="15"/>
      <c r="G11" s="15">
        <f t="shared" si="0"/>
        <v>-197</v>
      </c>
      <c r="H11" s="15">
        <v>669</v>
      </c>
      <c r="I11" s="15"/>
      <c r="J11" s="15">
        <f t="shared" si="1"/>
        <v>-866</v>
      </c>
      <c r="K11" s="15">
        <v>2000</v>
      </c>
      <c r="L11" s="15">
        <f t="shared" si="2"/>
        <v>1134</v>
      </c>
      <c r="M11" s="30" t="s">
        <v>75</v>
      </c>
      <c r="N11" s="99">
        <v>16.5</v>
      </c>
      <c r="O11" s="50">
        <f t="shared" si="3"/>
        <v>18711</v>
      </c>
      <c r="P11" s="50">
        <f t="shared" si="4"/>
        <v>-14289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-1739</v>
      </c>
      <c r="E13" s="15">
        <v>143520</v>
      </c>
      <c r="F13" s="15">
        <v>417</v>
      </c>
      <c r="G13" s="15">
        <f t="shared" si="0"/>
        <v>141364</v>
      </c>
      <c r="H13" s="15">
        <v>988</v>
      </c>
      <c r="I13" s="15"/>
      <c r="J13" s="15">
        <f t="shared" si="1"/>
        <v>140376</v>
      </c>
      <c r="K13" s="15">
        <v>5000</v>
      </c>
      <c r="L13" s="15">
        <f t="shared" si="2"/>
        <v>145376</v>
      </c>
      <c r="M13" s="30"/>
      <c r="N13" s="99">
        <v>27.5</v>
      </c>
      <c r="O13" s="50">
        <f t="shared" si="3"/>
        <v>3997840</v>
      </c>
      <c r="P13" s="50">
        <f t="shared" si="4"/>
        <v>3860340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10870</v>
      </c>
      <c r="E14" s="15"/>
      <c r="F14" s="15"/>
      <c r="G14" s="15">
        <f t="shared" si="0"/>
        <v>10870</v>
      </c>
      <c r="H14" s="15">
        <v>195</v>
      </c>
      <c r="I14" s="16"/>
      <c r="J14" s="15">
        <f t="shared" si="1"/>
        <v>10675</v>
      </c>
      <c r="K14" s="15">
        <v>-1000</v>
      </c>
      <c r="L14" s="15">
        <f t="shared" si="2"/>
        <v>9675</v>
      </c>
      <c r="M14" s="30"/>
      <c r="N14" s="99">
        <v>59</v>
      </c>
      <c r="O14" s="50">
        <f t="shared" si="3"/>
        <v>570825</v>
      </c>
      <c r="P14" s="50">
        <f t="shared" si="4"/>
        <v>629825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16853</v>
      </c>
      <c r="E16" s="29"/>
      <c r="F16" s="15"/>
      <c r="G16" s="15">
        <f t="shared" si="0"/>
        <v>16853</v>
      </c>
      <c r="H16" s="15">
        <v>1079</v>
      </c>
      <c r="I16" s="16"/>
      <c r="J16" s="15">
        <f t="shared" si="1"/>
        <v>15774</v>
      </c>
      <c r="K16" s="15">
        <v>0</v>
      </c>
      <c r="L16" s="15">
        <f>J16+K16</f>
        <v>15774</v>
      </c>
      <c r="M16" s="30"/>
      <c r="N16" s="99">
        <v>43.25</v>
      </c>
      <c r="O16" s="50">
        <f t="shared" si="3"/>
        <v>682225.5</v>
      </c>
      <c r="P16" s="50">
        <f t="shared" si="4"/>
        <v>682225.5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14211.439999999999</v>
      </c>
      <c r="E17" s="15"/>
      <c r="F17" s="15"/>
      <c r="G17" s="15">
        <f t="shared" si="0"/>
        <v>14211.439999999999</v>
      </c>
      <c r="H17" s="15"/>
      <c r="I17" s="16"/>
      <c r="J17" s="15">
        <f t="shared" si="1"/>
        <v>14211.439999999999</v>
      </c>
      <c r="K17" s="15">
        <v>0</v>
      </c>
      <c r="L17" s="15">
        <f t="shared" si="2"/>
        <v>14211.439999999999</v>
      </c>
      <c r="M17" s="31"/>
      <c r="N17" s="99">
        <v>53</v>
      </c>
      <c r="O17" s="50">
        <f t="shared" si="3"/>
        <v>753206.32</v>
      </c>
      <c r="P17" s="50">
        <f t="shared" si="4"/>
        <v>753206.32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5379</v>
      </c>
      <c r="E19" s="15"/>
      <c r="F19" s="15"/>
      <c r="G19" s="15">
        <f t="shared" si="0"/>
        <v>5379</v>
      </c>
      <c r="H19" s="15">
        <v>24</v>
      </c>
      <c r="I19" s="16"/>
      <c r="J19" s="15">
        <f t="shared" si="1"/>
        <v>5355</v>
      </c>
      <c r="K19" s="15">
        <v>1000</v>
      </c>
      <c r="L19" s="15">
        <f t="shared" si="2"/>
        <v>6355</v>
      </c>
      <c r="M19" s="30"/>
      <c r="N19" s="99">
        <v>22.8</v>
      </c>
      <c r="O19" s="50">
        <f t="shared" si="3"/>
        <v>144894</v>
      </c>
      <c r="P19" s="50">
        <f t="shared" si="4"/>
        <v>122094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19347</v>
      </c>
      <c r="E20" s="15"/>
      <c r="F20" s="15"/>
      <c r="G20" s="15">
        <f t="shared" si="0"/>
        <v>19347</v>
      </c>
      <c r="H20" s="15">
        <v>396</v>
      </c>
      <c r="I20" s="16"/>
      <c r="J20" s="15">
        <f t="shared" si="1"/>
        <v>18951</v>
      </c>
      <c r="K20" s="15">
        <v>0</v>
      </c>
      <c r="L20" s="15">
        <f t="shared" si="2"/>
        <v>18951</v>
      </c>
      <c r="M20" s="30" t="s">
        <v>75</v>
      </c>
      <c r="N20" s="99">
        <v>20</v>
      </c>
      <c r="O20" s="50">
        <f t="shared" si="3"/>
        <v>379020</v>
      </c>
      <c r="P20" s="50">
        <f t="shared" si="4"/>
        <v>379020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556</v>
      </c>
      <c r="E21" s="15">
        <f>13030+13030</f>
        <v>26060</v>
      </c>
      <c r="F21" s="15"/>
      <c r="G21" s="15">
        <f t="shared" si="0"/>
        <v>26616</v>
      </c>
      <c r="H21" s="15">
        <v>318</v>
      </c>
      <c r="I21" s="16"/>
      <c r="J21" s="15">
        <f t="shared" si="1"/>
        <v>26298</v>
      </c>
      <c r="K21" s="15">
        <v>0</v>
      </c>
      <c r="L21" s="15">
        <f t="shared" si="2"/>
        <v>26298</v>
      </c>
      <c r="M21" s="30"/>
      <c r="N21" s="99">
        <v>8.5</v>
      </c>
      <c r="O21" s="50">
        <f t="shared" si="3"/>
        <v>223533</v>
      </c>
      <c r="P21" s="50">
        <f t="shared" si="4"/>
        <v>223533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361613</v>
      </c>
      <c r="E22" s="15"/>
      <c r="F22" s="15"/>
      <c r="G22" s="15">
        <f t="shared" si="0"/>
        <v>361613</v>
      </c>
      <c r="H22" s="15">
        <v>732</v>
      </c>
      <c r="I22" s="16"/>
      <c r="J22" s="15">
        <f t="shared" si="1"/>
        <v>360881</v>
      </c>
      <c r="K22" s="15">
        <v>8000</v>
      </c>
      <c r="L22" s="15">
        <f t="shared" si="2"/>
        <v>368881</v>
      </c>
      <c r="M22" s="30"/>
      <c r="N22" s="99">
        <v>8.5</v>
      </c>
      <c r="O22" s="50">
        <f t="shared" si="3"/>
        <v>3135488.5</v>
      </c>
      <c r="P22" s="50">
        <f t="shared" si="4"/>
        <v>3067488.5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3569</v>
      </c>
      <c r="E23" s="15"/>
      <c r="F23" s="15"/>
      <c r="G23" s="15">
        <f t="shared" si="0"/>
        <v>3569</v>
      </c>
      <c r="H23" s="15">
        <v>656</v>
      </c>
      <c r="I23" s="16"/>
      <c r="J23" s="15">
        <f t="shared" si="1"/>
        <v>2913</v>
      </c>
      <c r="K23" s="15">
        <v>1500</v>
      </c>
      <c r="L23" s="15">
        <f t="shared" si="2"/>
        <v>4413</v>
      </c>
      <c r="M23" s="30" t="s">
        <v>75</v>
      </c>
      <c r="N23" s="99">
        <v>82</v>
      </c>
      <c r="O23" s="50">
        <f t="shared" si="3"/>
        <v>361866</v>
      </c>
      <c r="P23" s="50">
        <f t="shared" si="4"/>
        <v>238866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7156</v>
      </c>
      <c r="E24" s="29"/>
      <c r="F24" s="29"/>
      <c r="G24" s="15">
        <f t="shared" si="0"/>
        <v>7156</v>
      </c>
      <c r="H24" s="15"/>
      <c r="I24" s="16"/>
      <c r="J24" s="15">
        <f t="shared" si="1"/>
        <v>7156</v>
      </c>
      <c r="K24" s="15">
        <v>2713</v>
      </c>
      <c r="L24" s="15">
        <f t="shared" si="2"/>
        <v>9869</v>
      </c>
      <c r="M24" s="30"/>
      <c r="N24" s="99">
        <v>22.1</v>
      </c>
      <c r="O24" s="50">
        <f t="shared" si="3"/>
        <v>218104.90000000002</v>
      </c>
      <c r="P24" s="50">
        <f t="shared" si="4"/>
        <v>158147.6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155</v>
      </c>
      <c r="D26" s="15">
        <v>13408</v>
      </c>
      <c r="E26" s="15"/>
      <c r="F26" s="15"/>
      <c r="G26" s="15">
        <f t="shared" si="0"/>
        <v>13408</v>
      </c>
      <c r="H26" s="15">
        <v>314</v>
      </c>
      <c r="I26" s="16"/>
      <c r="J26" s="76">
        <f t="shared" si="1"/>
        <v>13094</v>
      </c>
      <c r="K26" s="76">
        <v>46</v>
      </c>
      <c r="L26" s="76">
        <f t="shared" si="2"/>
        <v>13140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161</v>
      </c>
      <c r="D29" s="15">
        <v>346</v>
      </c>
      <c r="E29" s="15"/>
      <c r="F29" s="15"/>
      <c r="G29" s="15">
        <f t="shared" si="0"/>
        <v>346</v>
      </c>
      <c r="H29" s="15"/>
      <c r="I29" s="16"/>
      <c r="J29" s="76">
        <f t="shared" si="1"/>
        <v>346</v>
      </c>
      <c r="K29" s="76">
        <v>0</v>
      </c>
      <c r="L29" s="76">
        <f t="shared" si="2"/>
        <v>346</v>
      </c>
      <c r="M29" s="78"/>
      <c r="N29" s="99">
        <v>72</v>
      </c>
      <c r="O29" s="50">
        <f t="shared" si="3"/>
        <v>24912</v>
      </c>
      <c r="P29" s="50">
        <f t="shared" si="4"/>
        <v>24912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9941</v>
      </c>
      <c r="E31" s="15"/>
      <c r="F31" s="15"/>
      <c r="G31" s="15">
        <f t="shared" si="0"/>
        <v>9941</v>
      </c>
      <c r="H31" s="15"/>
      <c r="I31" s="16"/>
      <c r="J31" s="76">
        <f t="shared" si="1"/>
        <v>9941</v>
      </c>
      <c r="K31" s="76">
        <v>0</v>
      </c>
      <c r="L31" s="76">
        <f t="shared" si="2"/>
        <v>9941</v>
      </c>
      <c r="M31" s="78"/>
      <c r="N31" s="99">
        <v>60</v>
      </c>
      <c r="O31" s="50">
        <f t="shared" si="3"/>
        <v>596460</v>
      </c>
      <c r="P31" s="50">
        <f t="shared" si="4"/>
        <v>596460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24890</v>
      </c>
      <c r="E32" s="15"/>
      <c r="F32" s="15"/>
      <c r="G32" s="15">
        <f t="shared" si="0"/>
        <v>24890</v>
      </c>
      <c r="H32" s="15">
        <v>3841</v>
      </c>
      <c r="I32" s="16"/>
      <c r="J32" s="76">
        <f t="shared" si="1"/>
        <v>21049</v>
      </c>
      <c r="K32" s="76"/>
      <c r="L32" s="76">
        <f t="shared" si="2"/>
        <v>21049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13104</v>
      </c>
      <c r="E33" s="15"/>
      <c r="F33" s="15"/>
      <c r="G33" s="15">
        <f t="shared" si="0"/>
        <v>13104</v>
      </c>
      <c r="H33" s="15">
        <v>136</v>
      </c>
      <c r="I33" s="16"/>
      <c r="J33" s="76">
        <f t="shared" si="1"/>
        <v>12968</v>
      </c>
      <c r="K33" s="76">
        <v>206</v>
      </c>
      <c r="L33" s="76">
        <f t="shared" si="2"/>
        <v>13174</v>
      </c>
      <c r="M33" s="30"/>
      <c r="N33" s="99">
        <v>12.49</v>
      </c>
      <c r="O33" s="50">
        <f t="shared" si="3"/>
        <v>164543.26</v>
      </c>
      <c r="P33" s="50">
        <f t="shared" si="4"/>
        <v>161970.32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150</v>
      </c>
      <c r="E34" s="15"/>
      <c r="F34" s="15"/>
      <c r="G34" s="15">
        <f t="shared" si="0"/>
        <v>150</v>
      </c>
      <c r="H34" s="15">
        <v>9</v>
      </c>
      <c r="I34" s="16"/>
      <c r="J34" s="76">
        <f t="shared" si="1"/>
        <v>141</v>
      </c>
      <c r="K34" s="76">
        <v>-50</v>
      </c>
      <c r="L34" s="76">
        <f t="shared" si="2"/>
        <v>91</v>
      </c>
      <c r="M34" s="77"/>
      <c r="N34" s="99">
        <v>435</v>
      </c>
      <c r="O34" s="50">
        <f t="shared" si="3"/>
        <v>39585</v>
      </c>
      <c r="P34" s="50">
        <f t="shared" si="4"/>
        <v>61335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102</v>
      </c>
      <c r="E35" s="15"/>
      <c r="F35" s="15"/>
      <c r="G35" s="15">
        <f t="shared" si="0"/>
        <v>102</v>
      </c>
      <c r="H35" s="15">
        <v>7</v>
      </c>
      <c r="I35" s="16"/>
      <c r="J35" s="76">
        <f>G35-H35-I35</f>
        <v>95</v>
      </c>
      <c r="K35" s="76">
        <v>-50</v>
      </c>
      <c r="L35" s="76">
        <f t="shared" si="2"/>
        <v>45</v>
      </c>
      <c r="M35" s="84"/>
      <c r="N35" s="99">
        <v>730</v>
      </c>
      <c r="O35" s="50">
        <f t="shared" si="3"/>
        <v>32850</v>
      </c>
      <c r="P35" s="50">
        <f t="shared" si="4"/>
        <v>69350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326</v>
      </c>
      <c r="E36" s="15"/>
      <c r="F36" s="15"/>
      <c r="G36" s="15">
        <f t="shared" si="0"/>
        <v>326</v>
      </c>
      <c r="H36" s="16">
        <v>2</v>
      </c>
      <c r="I36" s="16"/>
      <c r="J36" s="76">
        <f t="shared" si="1"/>
        <v>324</v>
      </c>
      <c r="K36" s="76">
        <v>-125</v>
      </c>
      <c r="L36" s="76">
        <f t="shared" si="2"/>
        <v>199</v>
      </c>
      <c r="M36" s="84"/>
      <c r="N36" s="99">
        <v>155</v>
      </c>
      <c r="O36" s="50">
        <f t="shared" si="3"/>
        <v>30845</v>
      </c>
      <c r="P36" s="50">
        <f t="shared" si="4"/>
        <v>50220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974</v>
      </c>
      <c r="E37" s="15"/>
      <c r="F37" s="15"/>
      <c r="G37" s="15">
        <f t="shared" si="0"/>
        <v>974</v>
      </c>
      <c r="H37" s="16">
        <v>49</v>
      </c>
      <c r="I37" s="16"/>
      <c r="J37" s="76">
        <f t="shared" si="1"/>
        <v>925</v>
      </c>
      <c r="K37" s="76">
        <v>0</v>
      </c>
      <c r="L37" s="76">
        <f t="shared" si="2"/>
        <v>925</v>
      </c>
      <c r="M37" s="84"/>
      <c r="N37" s="99">
        <v>125</v>
      </c>
      <c r="O37" s="50">
        <f t="shared" si="3"/>
        <v>115625</v>
      </c>
      <c r="P37" s="50">
        <f t="shared" si="4"/>
        <v>115625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274</v>
      </c>
      <c r="E39" s="15"/>
      <c r="F39" s="15"/>
      <c r="G39" s="15">
        <f t="shared" si="0"/>
        <v>274</v>
      </c>
      <c r="H39" s="16">
        <v>6</v>
      </c>
      <c r="I39" s="16"/>
      <c r="J39" s="76">
        <f t="shared" si="1"/>
        <v>268</v>
      </c>
      <c r="K39" s="76">
        <v>-70</v>
      </c>
      <c r="L39" s="76">
        <f t="shared" si="2"/>
        <v>198</v>
      </c>
      <c r="M39" s="84"/>
      <c r="N39" s="99">
        <v>975</v>
      </c>
      <c r="O39" s="50">
        <f t="shared" si="3"/>
        <v>193050</v>
      </c>
      <c r="P39" s="50">
        <f t="shared" si="4"/>
        <v>261300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645</v>
      </c>
      <c r="E41" s="15"/>
      <c r="F41" s="15"/>
      <c r="G41" s="15">
        <f t="shared" si="0"/>
        <v>645</v>
      </c>
      <c r="H41" s="16">
        <v>18</v>
      </c>
      <c r="I41" s="16"/>
      <c r="J41" s="76">
        <f t="shared" si="1"/>
        <v>627</v>
      </c>
      <c r="K41" s="76">
        <v>500</v>
      </c>
      <c r="L41" s="76">
        <f t="shared" si="2"/>
        <v>1127</v>
      </c>
      <c r="M41" s="84"/>
      <c r="N41" s="99">
        <v>125</v>
      </c>
      <c r="O41" s="50">
        <f t="shared" si="3"/>
        <v>140875</v>
      </c>
      <c r="P41" s="50">
        <f t="shared" si="4"/>
        <v>78375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10536</v>
      </c>
      <c r="E44" s="15"/>
      <c r="F44" s="15"/>
      <c r="G44" s="15">
        <f t="shared" si="0"/>
        <v>10536</v>
      </c>
      <c r="H44" s="16"/>
      <c r="I44" s="16"/>
      <c r="J44" s="76">
        <f t="shared" si="1"/>
        <v>10536</v>
      </c>
      <c r="K44" s="76">
        <v>2200</v>
      </c>
      <c r="L44" s="76">
        <f t="shared" si="2"/>
        <v>12736</v>
      </c>
      <c r="M44" s="84"/>
      <c r="N44" s="99">
        <v>80</v>
      </c>
      <c r="O44" s="50">
        <f t="shared" si="3"/>
        <v>1018880</v>
      </c>
      <c r="P44" s="50">
        <f t="shared" si="4"/>
        <v>842880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15650</v>
      </c>
      <c r="E46" s="15"/>
      <c r="F46" s="15"/>
      <c r="G46" s="15">
        <f t="shared" si="0"/>
        <v>15650</v>
      </c>
      <c r="H46" s="16">
        <v>77</v>
      </c>
      <c r="I46" s="16"/>
      <c r="J46" s="76">
        <f t="shared" si="1"/>
        <v>15573</v>
      </c>
      <c r="K46" s="76">
        <v>-180</v>
      </c>
      <c r="L46" s="76">
        <f t="shared" si="2"/>
        <v>15393</v>
      </c>
      <c r="M46" s="84"/>
      <c r="N46" s="99">
        <v>275</v>
      </c>
      <c r="O46" s="50">
        <f t="shared" si="3"/>
        <v>4233075</v>
      </c>
      <c r="P46" s="50">
        <f t="shared" si="4"/>
        <v>4282575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940</v>
      </c>
      <c r="E47" s="15"/>
      <c r="F47" s="15"/>
      <c r="G47" s="15">
        <f t="shared" si="0"/>
        <v>940</v>
      </c>
      <c r="H47" s="15">
        <v>8</v>
      </c>
      <c r="I47" s="16"/>
      <c r="J47" s="76">
        <f t="shared" si="1"/>
        <v>932</v>
      </c>
      <c r="K47" s="76">
        <v>0</v>
      </c>
      <c r="L47" s="76">
        <f t="shared" si="2"/>
        <v>932</v>
      </c>
      <c r="M47" s="84"/>
      <c r="N47" s="99">
        <v>250</v>
      </c>
      <c r="O47" s="50">
        <f t="shared" si="3"/>
        <v>233000</v>
      </c>
      <c r="P47" s="50">
        <f t="shared" si="4"/>
        <v>233000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289</v>
      </c>
      <c r="E49" s="15"/>
      <c r="F49" s="15"/>
      <c r="G49" s="15">
        <f t="shared" si="0"/>
        <v>289</v>
      </c>
      <c r="H49" s="15">
        <v>20</v>
      </c>
      <c r="I49" s="16"/>
      <c r="J49" s="76">
        <f t="shared" si="1"/>
        <v>269</v>
      </c>
      <c r="K49" s="76">
        <v>45</v>
      </c>
      <c r="L49" s="76">
        <f t="shared" si="2"/>
        <v>314</v>
      </c>
      <c r="M49" s="84"/>
      <c r="N49" s="99">
        <v>800</v>
      </c>
      <c r="O49" s="50">
        <f t="shared" si="3"/>
        <v>251200</v>
      </c>
      <c r="P49" s="50">
        <f t="shared" si="4"/>
        <v>215200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74</v>
      </c>
      <c r="E53" s="15"/>
      <c r="F53" s="15"/>
      <c r="G53" s="15">
        <f t="shared" si="0"/>
        <v>74</v>
      </c>
      <c r="H53" s="15">
        <v>2</v>
      </c>
      <c r="I53" s="20"/>
      <c r="J53" s="76">
        <f t="shared" si="1"/>
        <v>72</v>
      </c>
      <c r="K53" s="76">
        <v>0</v>
      </c>
      <c r="L53" s="76">
        <f t="shared" si="2"/>
        <v>72</v>
      </c>
      <c r="M53" s="84"/>
      <c r="N53" s="99">
        <v>1600</v>
      </c>
      <c r="O53" s="50">
        <f t="shared" si="3"/>
        <v>115200</v>
      </c>
      <c r="P53" s="50">
        <f t="shared" si="4"/>
        <v>115200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719</v>
      </c>
      <c r="E54" s="15"/>
      <c r="F54" s="15"/>
      <c r="G54" s="15">
        <f t="shared" si="0"/>
        <v>719</v>
      </c>
      <c r="H54" s="15">
        <v>3</v>
      </c>
      <c r="I54" s="16"/>
      <c r="J54" s="76">
        <f t="shared" si="1"/>
        <v>716</v>
      </c>
      <c r="K54" s="76">
        <v>-350</v>
      </c>
      <c r="L54" s="76">
        <f t="shared" si="2"/>
        <v>366</v>
      </c>
      <c r="M54" s="84"/>
      <c r="N54" s="99">
        <v>375</v>
      </c>
      <c r="O54" s="50">
        <f t="shared" si="3"/>
        <v>137250</v>
      </c>
      <c r="P54" s="50">
        <f t="shared" si="4"/>
        <v>268500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117</v>
      </c>
      <c r="E55" s="15"/>
      <c r="F55" s="15"/>
      <c r="G55" s="15">
        <f t="shared" si="0"/>
        <v>117</v>
      </c>
      <c r="H55" s="15">
        <v>4</v>
      </c>
      <c r="I55" s="21"/>
      <c r="J55" s="76">
        <f t="shared" si="1"/>
        <v>113</v>
      </c>
      <c r="K55" s="76">
        <v>9</v>
      </c>
      <c r="L55" s="76">
        <f t="shared" si="2"/>
        <v>122</v>
      </c>
      <c r="M55" s="30"/>
      <c r="N55" s="99">
        <v>425</v>
      </c>
      <c r="O55" s="50">
        <f t="shared" si="3"/>
        <v>51850</v>
      </c>
      <c r="P55" s="50">
        <f t="shared" si="4"/>
        <v>48025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416</v>
      </c>
      <c r="E56" s="15"/>
      <c r="F56" s="15"/>
      <c r="G56" s="15">
        <f t="shared" si="0"/>
        <v>416</v>
      </c>
      <c r="H56" s="15">
        <v>16</v>
      </c>
      <c r="I56" s="22"/>
      <c r="J56" s="76">
        <f t="shared" si="1"/>
        <v>400</v>
      </c>
      <c r="K56" s="76">
        <v>-200</v>
      </c>
      <c r="L56" s="76">
        <f t="shared" si="2"/>
        <v>200</v>
      </c>
      <c r="M56" s="84"/>
      <c r="N56" s="99">
        <v>390</v>
      </c>
      <c r="O56" s="50">
        <f t="shared" si="3"/>
        <v>78000</v>
      </c>
      <c r="P56" s="50">
        <f t="shared" si="4"/>
        <v>156000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-82</v>
      </c>
      <c r="E58" s="15"/>
      <c r="F58" s="15"/>
      <c r="G58" s="15">
        <f t="shared" si="0"/>
        <v>-82</v>
      </c>
      <c r="H58" s="15">
        <v>19</v>
      </c>
      <c r="I58" s="16"/>
      <c r="J58" s="76">
        <f t="shared" si="1"/>
        <v>-101</v>
      </c>
      <c r="K58" s="76">
        <v>50</v>
      </c>
      <c r="L58" s="76">
        <f t="shared" si="2"/>
        <v>-51</v>
      </c>
      <c r="M58" s="30"/>
      <c r="N58" s="99">
        <v>132</v>
      </c>
      <c r="O58" s="50">
        <f t="shared" si="3"/>
        <v>-6732</v>
      </c>
      <c r="P58" s="50">
        <f t="shared" si="4"/>
        <v>-13332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356</v>
      </c>
      <c r="E59" s="15"/>
      <c r="F59" s="15"/>
      <c r="G59" s="15">
        <f t="shared" si="0"/>
        <v>356</v>
      </c>
      <c r="H59" s="15">
        <v>7</v>
      </c>
      <c r="I59" s="16"/>
      <c r="J59" s="76">
        <f t="shared" si="1"/>
        <v>349</v>
      </c>
      <c r="K59" s="76">
        <v>0</v>
      </c>
      <c r="L59" s="76">
        <f t="shared" si="2"/>
        <v>349</v>
      </c>
      <c r="M59" s="84"/>
      <c r="N59" s="99">
        <v>570</v>
      </c>
      <c r="O59" s="50">
        <f t="shared" si="3"/>
        <v>198930</v>
      </c>
      <c r="P59" s="50">
        <f t="shared" si="4"/>
        <v>198930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5362</v>
      </c>
      <c r="E62" s="15"/>
      <c r="F62" s="15"/>
      <c r="G62" s="15">
        <f t="shared" si="0"/>
        <v>5362</v>
      </c>
      <c r="H62" s="15">
        <v>71</v>
      </c>
      <c r="I62" s="16"/>
      <c r="J62" s="76">
        <f t="shared" si="1"/>
        <v>5291</v>
      </c>
      <c r="K62" s="76">
        <v>187</v>
      </c>
      <c r="L62" s="76">
        <f t="shared" si="2"/>
        <v>5478</v>
      </c>
      <c r="M62" s="30"/>
      <c r="N62" s="99">
        <v>87.38</v>
      </c>
      <c r="O62" s="50">
        <f t="shared" si="3"/>
        <v>478667.63999999996</v>
      </c>
      <c r="P62" s="50">
        <f t="shared" si="4"/>
        <v>462327.57999999996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-1</v>
      </c>
      <c r="E63" s="15"/>
      <c r="F63" s="15"/>
      <c r="G63" s="15">
        <f t="shared" si="0"/>
        <v>-1</v>
      </c>
      <c r="H63" s="15">
        <v>6</v>
      </c>
      <c r="I63" s="16"/>
      <c r="J63" s="76">
        <f t="shared" si="1"/>
        <v>-7</v>
      </c>
      <c r="K63" s="76">
        <v>300</v>
      </c>
      <c r="L63" s="76">
        <f t="shared" si="2"/>
        <v>293</v>
      </c>
      <c r="M63" s="84"/>
      <c r="N63" s="99">
        <v>290</v>
      </c>
      <c r="O63" s="50">
        <f t="shared" si="3"/>
        <v>84970</v>
      </c>
      <c r="P63" s="50">
        <f t="shared" si="4"/>
        <v>-2030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-8</v>
      </c>
      <c r="E64" s="23"/>
      <c r="F64" s="23"/>
      <c r="G64" s="23">
        <f t="shared" si="0"/>
        <v>-8</v>
      </c>
      <c r="H64" s="23">
        <v>10</v>
      </c>
      <c r="I64" s="23"/>
      <c r="J64" s="76">
        <f t="shared" si="1"/>
        <v>-18</v>
      </c>
      <c r="K64" s="79">
        <v>100</v>
      </c>
      <c r="L64" s="76">
        <f t="shared" si="2"/>
        <v>82</v>
      </c>
      <c r="M64" s="30"/>
      <c r="N64" s="99">
        <v>70</v>
      </c>
      <c r="O64" s="50">
        <f t="shared" si="3"/>
        <v>5740</v>
      </c>
      <c r="P64" s="50">
        <f t="shared" si="4"/>
        <v>-1260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-78</v>
      </c>
      <c r="E65" s="24"/>
      <c r="F65" s="24"/>
      <c r="G65" s="16">
        <f t="shared" si="0"/>
        <v>-78</v>
      </c>
      <c r="H65" s="24">
        <v>25</v>
      </c>
      <c r="I65" s="24"/>
      <c r="J65" s="76">
        <f t="shared" si="1"/>
        <v>-103</v>
      </c>
      <c r="K65" s="80">
        <v>15</v>
      </c>
      <c r="L65" s="76">
        <f t="shared" si="2"/>
        <v>-88</v>
      </c>
      <c r="M65" s="86"/>
      <c r="N65" s="99">
        <v>240</v>
      </c>
      <c r="O65" s="50">
        <f t="shared" si="3"/>
        <v>-21120</v>
      </c>
      <c r="P65" s="50">
        <f t="shared" si="4"/>
        <v>-24720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305</v>
      </c>
      <c r="E66" s="24"/>
      <c r="F66" s="24"/>
      <c r="G66" s="16">
        <f t="shared" si="0"/>
        <v>305</v>
      </c>
      <c r="H66" s="24">
        <v>10</v>
      </c>
      <c r="I66" s="24"/>
      <c r="J66" s="76">
        <f t="shared" si="1"/>
        <v>295</v>
      </c>
      <c r="K66" s="81">
        <v>0</v>
      </c>
      <c r="L66" s="81">
        <f t="shared" si="2"/>
        <v>295</v>
      </c>
      <c r="M66" s="86"/>
      <c r="N66" s="99">
        <v>1100</v>
      </c>
      <c r="O66" s="50">
        <f t="shared" si="3"/>
        <v>324500</v>
      </c>
      <c r="P66" s="50">
        <f t="shared" si="4"/>
        <v>324500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296464</v>
      </c>
      <c r="E67" s="24"/>
      <c r="F67" s="24"/>
      <c r="G67" s="16">
        <f t="shared" si="0"/>
        <v>296464</v>
      </c>
      <c r="H67" s="24">
        <v>275</v>
      </c>
      <c r="I67" s="24"/>
      <c r="J67" s="76">
        <f t="shared" si="1"/>
        <v>296189</v>
      </c>
      <c r="K67" s="80">
        <v>2800</v>
      </c>
      <c r="L67" s="76">
        <f t="shared" si="2"/>
        <v>298989</v>
      </c>
      <c r="M67" s="84"/>
      <c r="N67" s="99">
        <v>53</v>
      </c>
      <c r="O67" s="50">
        <f t="shared" si="3"/>
        <v>15846417</v>
      </c>
      <c r="P67" s="50">
        <f t="shared" si="4"/>
        <v>15698017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157</v>
      </c>
      <c r="D69" s="16">
        <v>150</v>
      </c>
      <c r="E69" s="24"/>
      <c r="F69" s="24"/>
      <c r="G69" s="16">
        <f t="shared" si="0"/>
        <v>150</v>
      </c>
      <c r="H69" s="24"/>
      <c r="I69" s="24"/>
      <c r="J69" s="76">
        <f t="shared" si="1"/>
        <v>150</v>
      </c>
      <c r="K69" s="80">
        <v>0</v>
      </c>
      <c r="L69" s="76">
        <f t="shared" si="2"/>
        <v>150</v>
      </c>
      <c r="M69" s="84"/>
      <c r="N69" s="99">
        <v>1700</v>
      </c>
      <c r="O69" s="50">
        <f t="shared" si="3"/>
        <v>255000</v>
      </c>
      <c r="P69" s="50">
        <f t="shared" si="4"/>
        <v>255000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424</v>
      </c>
      <c r="E70" s="24"/>
      <c r="F70" s="24"/>
      <c r="G70" s="16">
        <f t="shared" si="0"/>
        <v>424</v>
      </c>
      <c r="H70" s="24">
        <v>2</v>
      </c>
      <c r="I70" s="24"/>
      <c r="J70" s="76">
        <f t="shared" si="1"/>
        <v>422</v>
      </c>
      <c r="K70" s="80">
        <v>-153</v>
      </c>
      <c r="L70" s="76">
        <f t="shared" si="2"/>
        <v>269</v>
      </c>
      <c r="M70" s="86"/>
      <c r="N70" s="99">
        <v>260</v>
      </c>
      <c r="O70" s="50">
        <f t="shared" si="3"/>
        <v>69940</v>
      </c>
      <c r="P70" s="50">
        <f t="shared" si="4"/>
        <v>109720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3077</v>
      </c>
      <c r="E72" s="24"/>
      <c r="F72" s="24"/>
      <c r="G72" s="16">
        <f t="shared" si="0"/>
        <v>3077</v>
      </c>
      <c r="H72" s="24">
        <v>48</v>
      </c>
      <c r="I72" s="24"/>
      <c r="J72" s="76">
        <f t="shared" si="5"/>
        <v>3029</v>
      </c>
      <c r="K72" s="80">
        <v>-200</v>
      </c>
      <c r="L72" s="76">
        <f t="shared" si="2"/>
        <v>2829</v>
      </c>
      <c r="M72" s="30"/>
      <c r="N72" s="99">
        <v>39</v>
      </c>
      <c r="O72" s="50">
        <f t="shared" si="6"/>
        <v>110331</v>
      </c>
      <c r="P72" s="50">
        <f t="shared" si="7"/>
        <v>118131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17604</v>
      </c>
      <c r="E73" s="24"/>
      <c r="F73" s="24"/>
      <c r="G73" s="16">
        <f t="shared" si="0"/>
        <v>17604</v>
      </c>
      <c r="H73" s="24">
        <v>73</v>
      </c>
      <c r="I73" s="42"/>
      <c r="J73" s="76">
        <f t="shared" si="5"/>
        <v>17531</v>
      </c>
      <c r="K73" s="80">
        <v>0</v>
      </c>
      <c r="L73" s="76">
        <f t="shared" si="2"/>
        <v>17531</v>
      </c>
      <c r="M73" s="84"/>
      <c r="N73" s="99">
        <v>83</v>
      </c>
      <c r="O73" s="50">
        <f t="shared" si="6"/>
        <v>1455073</v>
      </c>
      <c r="P73" s="50">
        <f t="shared" si="7"/>
        <v>1455073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2126</v>
      </c>
      <c r="E75" s="24"/>
      <c r="F75" s="24"/>
      <c r="G75" s="16">
        <f t="shared" si="0"/>
        <v>2126</v>
      </c>
      <c r="H75" s="24">
        <v>109</v>
      </c>
      <c r="I75" s="24"/>
      <c r="J75" s="76">
        <f t="shared" si="5"/>
        <v>2017</v>
      </c>
      <c r="K75" s="80">
        <v>273</v>
      </c>
      <c r="L75" s="76">
        <f t="shared" si="2"/>
        <v>2290</v>
      </c>
      <c r="M75" s="86"/>
      <c r="N75" s="99">
        <v>16</v>
      </c>
      <c r="O75" s="50">
        <f t="shared" si="6"/>
        <v>36640</v>
      </c>
      <c r="P75" s="50">
        <f t="shared" si="7"/>
        <v>32272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301</v>
      </c>
      <c r="E76" s="24"/>
      <c r="F76" s="24"/>
      <c r="G76" s="16">
        <f t="shared" si="0"/>
        <v>301</v>
      </c>
      <c r="H76" s="24">
        <v>10</v>
      </c>
      <c r="I76" s="24"/>
      <c r="J76" s="76">
        <f t="shared" si="5"/>
        <v>291</v>
      </c>
      <c r="K76" s="80">
        <v>-250</v>
      </c>
      <c r="L76" s="76">
        <f t="shared" si="2"/>
        <v>41</v>
      </c>
      <c r="M76" s="30"/>
      <c r="N76" s="99">
        <v>400</v>
      </c>
      <c r="O76" s="50">
        <f t="shared" si="6"/>
        <v>16400</v>
      </c>
      <c r="P76" s="50">
        <f t="shared" si="7"/>
        <v>116400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302</v>
      </c>
      <c r="E78" s="24"/>
      <c r="F78" s="24"/>
      <c r="G78" s="16">
        <f t="shared" si="0"/>
        <v>302</v>
      </c>
      <c r="H78" s="24">
        <v>6</v>
      </c>
      <c r="I78" s="24"/>
      <c r="J78" s="76">
        <f t="shared" si="5"/>
        <v>296</v>
      </c>
      <c r="K78" s="80">
        <v>100</v>
      </c>
      <c r="L78" s="76">
        <f t="shared" si="2"/>
        <v>396</v>
      </c>
      <c r="M78" s="86"/>
      <c r="N78" s="99">
        <v>900</v>
      </c>
      <c r="O78" s="50">
        <f t="shared" si="6"/>
        <v>356400</v>
      </c>
      <c r="P78" s="50">
        <f t="shared" si="7"/>
        <v>266400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14213</v>
      </c>
      <c r="E83" s="98"/>
      <c r="F83" s="24"/>
      <c r="G83" s="16">
        <f t="shared" si="8"/>
        <v>14213</v>
      </c>
      <c r="H83" s="24"/>
      <c r="I83" s="95"/>
      <c r="J83" s="76">
        <f t="shared" si="5"/>
        <v>14213</v>
      </c>
      <c r="K83" s="81">
        <v>0</v>
      </c>
      <c r="L83" s="76">
        <f t="shared" si="2"/>
        <v>14213</v>
      </c>
      <c r="M83" s="85"/>
      <c r="N83" s="100">
        <v>64</v>
      </c>
      <c r="O83" s="50">
        <f t="shared" si="6"/>
        <v>909632</v>
      </c>
      <c r="P83" s="50">
        <f t="shared" si="7"/>
        <v>909632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35</v>
      </c>
      <c r="E84" s="89"/>
      <c r="F84" s="12"/>
      <c r="G84" s="45">
        <f t="shared" si="8"/>
        <v>35</v>
      </c>
      <c r="H84" s="12"/>
      <c r="I84" s="94"/>
      <c r="J84" s="82">
        <f t="shared" ref="J84:J97" si="9">D84+E84-H84-I84</f>
        <v>35</v>
      </c>
      <c r="K84" s="96">
        <v>0</v>
      </c>
      <c r="L84" s="82">
        <f t="shared" si="2"/>
        <v>35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272</v>
      </c>
      <c r="E85" s="90"/>
      <c r="F85" s="11"/>
      <c r="G85" s="16">
        <f t="shared" si="8"/>
        <v>272</v>
      </c>
      <c r="H85" s="88">
        <v>6</v>
      </c>
      <c r="I85" s="11"/>
      <c r="J85" s="76">
        <f t="shared" si="9"/>
        <v>266</v>
      </c>
      <c r="K85" s="97">
        <v>500</v>
      </c>
      <c r="L85" s="76">
        <f t="shared" si="2"/>
        <v>766</v>
      </c>
      <c r="M85" s="86"/>
      <c r="N85" s="99">
        <v>350</v>
      </c>
      <c r="O85" s="50">
        <f t="shared" si="6"/>
        <v>268100</v>
      </c>
      <c r="P85" s="50">
        <f t="shared" si="7"/>
        <v>93100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384</v>
      </c>
      <c r="E86" s="90"/>
      <c r="F86" s="11"/>
      <c r="G86" s="16">
        <f t="shared" si="8"/>
        <v>384</v>
      </c>
      <c r="H86" s="88">
        <v>6</v>
      </c>
      <c r="I86" s="11"/>
      <c r="J86" s="76">
        <f t="shared" si="9"/>
        <v>378</v>
      </c>
      <c r="K86" s="97">
        <v>300</v>
      </c>
      <c r="L86" s="76">
        <f t="shared" si="2"/>
        <v>678</v>
      </c>
      <c r="M86" s="84"/>
      <c r="N86" s="99">
        <v>165</v>
      </c>
      <c r="O86" s="50">
        <f t="shared" si="6"/>
        <v>111870</v>
      </c>
      <c r="P86" s="50">
        <f t="shared" si="7"/>
        <v>62370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251</v>
      </c>
      <c r="E87" s="11"/>
      <c r="F87" s="11"/>
      <c r="G87" s="16">
        <f t="shared" si="8"/>
        <v>251</v>
      </c>
      <c r="H87" s="88"/>
      <c r="I87" s="11"/>
      <c r="J87" s="76">
        <f t="shared" si="9"/>
        <v>251</v>
      </c>
      <c r="K87" s="97">
        <v>-1</v>
      </c>
      <c r="L87" s="76">
        <f t="shared" si="2"/>
        <v>250</v>
      </c>
      <c r="M87" s="86"/>
      <c r="N87" s="99">
        <v>630</v>
      </c>
      <c r="O87" s="50">
        <f t="shared" si="6"/>
        <v>157500</v>
      </c>
      <c r="P87" s="50">
        <f t="shared" si="7"/>
        <v>158130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16</v>
      </c>
      <c r="E88" s="11"/>
      <c r="F88" s="11"/>
      <c r="G88" s="16">
        <f t="shared" si="8"/>
        <v>16</v>
      </c>
      <c r="H88" s="88">
        <v>5</v>
      </c>
      <c r="I88" s="11"/>
      <c r="J88" s="76">
        <f t="shared" si="9"/>
        <v>11</v>
      </c>
      <c r="K88" s="97">
        <v>0</v>
      </c>
      <c r="L88" s="76">
        <f t="shared" ref="L88:L97" si="10">J88+K88</f>
        <v>11</v>
      </c>
      <c r="M88" s="86"/>
      <c r="N88" s="99">
        <v>285</v>
      </c>
      <c r="O88" s="50">
        <f t="shared" si="6"/>
        <v>3135</v>
      </c>
      <c r="P88" s="50">
        <f t="shared" si="7"/>
        <v>3135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38</v>
      </c>
      <c r="E89" s="88"/>
      <c r="F89" s="11"/>
      <c r="G89" s="16">
        <f t="shared" si="8"/>
        <v>38</v>
      </c>
      <c r="H89" s="88"/>
      <c r="I89" s="11"/>
      <c r="J89" s="76">
        <f t="shared" si="9"/>
        <v>38</v>
      </c>
      <c r="K89" s="97">
        <v>0</v>
      </c>
      <c r="L89" s="76">
        <f t="shared" si="10"/>
        <v>38</v>
      </c>
      <c r="M89" s="86"/>
      <c r="N89" s="99">
        <v>205</v>
      </c>
      <c r="O89" s="50">
        <f t="shared" si="6"/>
        <v>7790</v>
      </c>
      <c r="P89" s="50">
        <f t="shared" si="7"/>
        <v>7790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333</v>
      </c>
      <c r="E92" s="88"/>
      <c r="F92" s="11"/>
      <c r="G92" s="16">
        <f t="shared" si="8"/>
        <v>333</v>
      </c>
      <c r="H92" s="88">
        <v>10</v>
      </c>
      <c r="I92" s="11"/>
      <c r="J92" s="83">
        <f t="shared" si="9"/>
        <v>323</v>
      </c>
      <c r="K92" s="97">
        <v>0</v>
      </c>
      <c r="L92" s="76">
        <f t="shared" si="10"/>
        <v>323</v>
      </c>
      <c r="M92" s="86"/>
      <c r="N92" s="99">
        <v>113</v>
      </c>
      <c r="O92" s="50">
        <f t="shared" si="6"/>
        <v>36499</v>
      </c>
      <c r="P92" s="50">
        <f t="shared" si="7"/>
        <v>36499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221</v>
      </c>
      <c r="E94" s="88"/>
      <c r="F94" s="11"/>
      <c r="G94" s="16">
        <f t="shared" si="8"/>
        <v>221</v>
      </c>
      <c r="H94" s="88">
        <v>8</v>
      </c>
      <c r="I94" s="11"/>
      <c r="J94" s="83">
        <f t="shared" si="9"/>
        <v>213</v>
      </c>
      <c r="K94" s="97">
        <v>-50</v>
      </c>
      <c r="L94" s="76">
        <f t="shared" si="10"/>
        <v>163</v>
      </c>
      <c r="M94" s="86"/>
      <c r="N94" s="99">
        <v>950</v>
      </c>
      <c r="O94" s="50">
        <f t="shared" si="6"/>
        <v>154850</v>
      </c>
      <c r="P94" s="50">
        <f t="shared" si="7"/>
        <v>202350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160</v>
      </c>
      <c r="D97" s="90">
        <v>2</v>
      </c>
      <c r="E97" s="88"/>
      <c r="F97" s="11"/>
      <c r="G97" s="16">
        <f t="shared" si="8"/>
        <v>2</v>
      </c>
      <c r="H97" s="88"/>
      <c r="I97" s="11"/>
      <c r="J97" s="83">
        <f t="shared" si="9"/>
        <v>2</v>
      </c>
      <c r="K97" s="97">
        <v>0</v>
      </c>
      <c r="L97" s="76">
        <f t="shared" si="10"/>
        <v>2</v>
      </c>
      <c r="M97" s="86"/>
      <c r="N97" s="99">
        <v>1750</v>
      </c>
      <c r="O97" s="50">
        <f t="shared" si="6"/>
        <v>3500</v>
      </c>
      <c r="P97" s="50">
        <f t="shared" si="7"/>
        <v>3500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1882767.2549999999</v>
      </c>
      <c r="E98" s="27">
        <f t="shared" ref="E98:L98" si="11">SUM(E6:E97)</f>
        <v>169580</v>
      </c>
      <c r="F98" s="27">
        <f t="shared" si="11"/>
        <v>417</v>
      </c>
      <c r="G98" s="27">
        <f t="shared" si="11"/>
        <v>2051930.2549999999</v>
      </c>
      <c r="H98" s="27">
        <f t="shared" si="11"/>
        <v>34777</v>
      </c>
      <c r="I98" s="27">
        <f t="shared" si="11"/>
        <v>0</v>
      </c>
      <c r="J98" s="27">
        <f t="shared" si="11"/>
        <v>2017153.2549999999</v>
      </c>
      <c r="K98" s="27">
        <f t="shared" si="11"/>
        <v>-583748</v>
      </c>
      <c r="L98" s="27">
        <f t="shared" si="11"/>
        <v>1433405.2549999999</v>
      </c>
      <c r="M98" s="27">
        <f>SUM(M6:M96)</f>
        <v>0</v>
      </c>
      <c r="N98" s="51"/>
      <c r="O98" s="51">
        <f t="shared" ref="O98" si="12">SUM(O6:O97)</f>
        <v>51999960.450000003</v>
      </c>
      <c r="P98" s="51">
        <f>SUM(P6:P97)</f>
        <v>64345635.149999999</v>
      </c>
      <c r="Q98" s="57">
        <f>O98-P98</f>
        <v>-12345674.699999996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24" t="s">
        <v>115</v>
      </c>
      <c r="M100" s="124"/>
      <c r="O100" s="55" t="s">
        <v>110</v>
      </c>
      <c r="P100" s="54">
        <v>79909923</v>
      </c>
    </row>
    <row r="101" spans="1:22">
      <c r="P101" s="54">
        <f>P100-P98</f>
        <v>15564287.850000001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V105"/>
  <sheetViews>
    <sheetView tabSelected="1" zoomScale="115" zoomScaleNormal="115" workbookViewId="0">
      <pane ySplit="5" topLeftCell="A6" activePane="bottomLeft" state="frozen"/>
      <selection pane="bottomLeft" activeCell="M30" sqref="M30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164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29205</v>
      </c>
      <c r="E6" s="15"/>
      <c r="F6" s="16"/>
      <c r="G6" s="15">
        <f>D6+E6-F6</f>
        <v>29205</v>
      </c>
      <c r="H6" s="15">
        <v>26925</v>
      </c>
      <c r="I6" s="16"/>
      <c r="J6" s="15">
        <f>G6-H6-I6</f>
        <v>2280</v>
      </c>
      <c r="K6" s="15">
        <v>0</v>
      </c>
      <c r="L6" s="15">
        <f>J6+K6</f>
        <v>2280</v>
      </c>
      <c r="M6" s="30" t="s">
        <v>75</v>
      </c>
      <c r="N6" s="99">
        <v>21.5</v>
      </c>
      <c r="O6" s="50">
        <f>L6*N6</f>
        <v>49020</v>
      </c>
      <c r="P6" s="50">
        <f>J6*N6</f>
        <v>49020</v>
      </c>
      <c r="Q6" s="43">
        <f>O6-P6</f>
        <v>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70838</v>
      </c>
      <c r="E7" s="15">
        <v>14961</v>
      </c>
      <c r="F7" s="15"/>
      <c r="G7" s="15">
        <f t="shared" ref="G7:G80" si="0">D7+E7-F7</f>
        <v>85799</v>
      </c>
      <c r="H7" s="15">
        <v>11061</v>
      </c>
      <c r="I7" s="15"/>
      <c r="J7" s="15">
        <f t="shared" ref="J7:J70" si="1">G7-H7-I7</f>
        <v>74738</v>
      </c>
      <c r="K7" s="15">
        <v>-5000</v>
      </c>
      <c r="L7" s="15">
        <f t="shared" ref="L7:L87" si="2">J7+K7</f>
        <v>69738</v>
      </c>
      <c r="M7" s="30"/>
      <c r="N7" s="99">
        <v>38</v>
      </c>
      <c r="O7" s="50">
        <f t="shared" ref="O7:O70" si="3">L7*N7</f>
        <v>2650044</v>
      </c>
      <c r="P7" s="50">
        <f t="shared" ref="P7:P70" si="4">J7*N7</f>
        <v>2840044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87138</v>
      </c>
      <c r="E8" s="15"/>
      <c r="F8" s="15"/>
      <c r="G8" s="15">
        <f t="shared" si="0"/>
        <v>87138</v>
      </c>
      <c r="H8" s="15">
        <v>547</v>
      </c>
      <c r="I8" s="15"/>
      <c r="J8" s="15">
        <f t="shared" si="1"/>
        <v>86591</v>
      </c>
      <c r="K8" s="15">
        <v>0</v>
      </c>
      <c r="L8" s="15">
        <f t="shared" si="2"/>
        <v>86591</v>
      </c>
      <c r="M8" s="30"/>
      <c r="N8" s="99">
        <v>12</v>
      </c>
      <c r="O8" s="50">
        <f t="shared" si="3"/>
        <v>1039092</v>
      </c>
      <c r="P8" s="50">
        <f t="shared" si="4"/>
        <v>1039092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787372</v>
      </c>
      <c r="E10" s="15"/>
      <c r="F10" s="15"/>
      <c r="G10" s="15">
        <f t="shared" si="0"/>
        <v>787372</v>
      </c>
      <c r="H10" s="15">
        <v>1448</v>
      </c>
      <c r="I10" s="15"/>
      <c r="J10" s="15">
        <f t="shared" si="1"/>
        <v>785924</v>
      </c>
      <c r="K10" s="15">
        <v>-607000</v>
      </c>
      <c r="L10" s="15">
        <f t="shared" si="2"/>
        <v>178924</v>
      </c>
      <c r="M10" s="30"/>
      <c r="N10" s="99">
        <v>23.09</v>
      </c>
      <c r="O10" s="50">
        <f t="shared" si="3"/>
        <v>4131355.16</v>
      </c>
      <c r="P10" s="50">
        <f t="shared" si="4"/>
        <v>18146985.16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-866</v>
      </c>
      <c r="E11" s="15"/>
      <c r="F11" s="15"/>
      <c r="G11" s="15">
        <f t="shared" si="0"/>
        <v>-866</v>
      </c>
      <c r="H11" s="15">
        <v>789</v>
      </c>
      <c r="I11" s="15"/>
      <c r="J11" s="15">
        <f t="shared" si="1"/>
        <v>-1655</v>
      </c>
      <c r="K11" s="15">
        <v>2000</v>
      </c>
      <c r="L11" s="15">
        <f t="shared" si="2"/>
        <v>345</v>
      </c>
      <c r="M11" s="30" t="s">
        <v>75</v>
      </c>
      <c r="N11" s="99">
        <v>16.5</v>
      </c>
      <c r="O11" s="50">
        <f t="shared" si="3"/>
        <v>5692.5</v>
      </c>
      <c r="P11" s="50">
        <f t="shared" si="4"/>
        <v>-27307.5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140376</v>
      </c>
      <c r="E13" s="15">
        <v>13220</v>
      </c>
      <c r="F13" s="15">
        <v>38</v>
      </c>
      <c r="G13" s="15">
        <f t="shared" si="0"/>
        <v>153558</v>
      </c>
      <c r="H13" s="15">
        <v>1501</v>
      </c>
      <c r="I13" s="15"/>
      <c r="J13" s="15">
        <f t="shared" si="1"/>
        <v>152057</v>
      </c>
      <c r="K13" s="15">
        <v>5000</v>
      </c>
      <c r="L13" s="15">
        <f t="shared" si="2"/>
        <v>157057</v>
      </c>
      <c r="M13" s="30"/>
      <c r="N13" s="99">
        <v>27.5</v>
      </c>
      <c r="O13" s="50">
        <f t="shared" si="3"/>
        <v>4319067.5</v>
      </c>
      <c r="P13" s="50">
        <f t="shared" si="4"/>
        <v>4181567.5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10675</v>
      </c>
      <c r="E14" s="15"/>
      <c r="F14" s="15"/>
      <c r="G14" s="15">
        <f t="shared" si="0"/>
        <v>10675</v>
      </c>
      <c r="H14" s="15">
        <v>102</v>
      </c>
      <c r="I14" s="16"/>
      <c r="J14" s="15">
        <f t="shared" si="1"/>
        <v>10573</v>
      </c>
      <c r="K14" s="15">
        <v>-1000</v>
      </c>
      <c r="L14" s="15">
        <f t="shared" si="2"/>
        <v>9573</v>
      </c>
      <c r="M14" s="30"/>
      <c r="N14" s="99">
        <v>59</v>
      </c>
      <c r="O14" s="50">
        <f t="shared" si="3"/>
        <v>564807</v>
      </c>
      <c r="P14" s="50">
        <f t="shared" si="4"/>
        <v>623807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15774</v>
      </c>
      <c r="E16" s="29"/>
      <c r="F16" s="15"/>
      <c r="G16" s="15">
        <f t="shared" si="0"/>
        <v>15774</v>
      </c>
      <c r="H16" s="15">
        <v>1011</v>
      </c>
      <c r="I16" s="16"/>
      <c r="J16" s="15">
        <f t="shared" si="1"/>
        <v>14763</v>
      </c>
      <c r="K16" s="15">
        <v>0</v>
      </c>
      <c r="L16" s="15">
        <f>J16+K16</f>
        <v>14763</v>
      </c>
      <c r="M16" s="30"/>
      <c r="N16" s="99">
        <v>43.25</v>
      </c>
      <c r="O16" s="50">
        <f t="shared" si="3"/>
        <v>638499.75</v>
      </c>
      <c r="P16" s="50">
        <f t="shared" si="4"/>
        <v>638499.75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14211.439999999999</v>
      </c>
      <c r="E17" s="15"/>
      <c r="F17" s="15"/>
      <c r="G17" s="15">
        <f t="shared" si="0"/>
        <v>14211.439999999999</v>
      </c>
      <c r="H17" s="15"/>
      <c r="I17" s="16"/>
      <c r="J17" s="15">
        <f t="shared" si="1"/>
        <v>14211.439999999999</v>
      </c>
      <c r="K17" s="15">
        <v>0</v>
      </c>
      <c r="L17" s="15">
        <f t="shared" si="2"/>
        <v>14211.439999999999</v>
      </c>
      <c r="M17" s="31"/>
      <c r="N17" s="99">
        <v>53</v>
      </c>
      <c r="O17" s="50">
        <f t="shared" si="3"/>
        <v>753206.32</v>
      </c>
      <c r="P17" s="50">
        <f t="shared" si="4"/>
        <v>753206.32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5355</v>
      </c>
      <c r="E19" s="15"/>
      <c r="F19" s="15"/>
      <c r="G19" s="15">
        <f t="shared" si="0"/>
        <v>5355</v>
      </c>
      <c r="H19" s="15">
        <v>236</v>
      </c>
      <c r="I19" s="16"/>
      <c r="J19" s="15">
        <f t="shared" si="1"/>
        <v>5119</v>
      </c>
      <c r="K19" s="15">
        <v>1000</v>
      </c>
      <c r="L19" s="15">
        <f t="shared" si="2"/>
        <v>6119</v>
      </c>
      <c r="M19" s="30"/>
      <c r="N19" s="99">
        <v>22.8</v>
      </c>
      <c r="O19" s="50">
        <f t="shared" si="3"/>
        <v>139513.20000000001</v>
      </c>
      <c r="P19" s="50">
        <f t="shared" si="4"/>
        <v>116713.2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18951</v>
      </c>
      <c r="E20" s="15"/>
      <c r="F20" s="15"/>
      <c r="G20" s="15">
        <f t="shared" si="0"/>
        <v>18951</v>
      </c>
      <c r="H20" s="15"/>
      <c r="I20" s="16"/>
      <c r="J20" s="15">
        <f t="shared" si="1"/>
        <v>18951</v>
      </c>
      <c r="K20" s="15">
        <v>0</v>
      </c>
      <c r="L20" s="15">
        <f t="shared" si="2"/>
        <v>18951</v>
      </c>
      <c r="M20" s="30" t="s">
        <v>75</v>
      </c>
      <c r="N20" s="99">
        <v>20</v>
      </c>
      <c r="O20" s="50">
        <f t="shared" si="3"/>
        <v>379020</v>
      </c>
      <c r="P20" s="50">
        <f t="shared" si="4"/>
        <v>379020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26298</v>
      </c>
      <c r="E21" s="15"/>
      <c r="F21" s="15"/>
      <c r="G21" s="15">
        <f t="shared" si="0"/>
        <v>26298</v>
      </c>
      <c r="H21" s="15">
        <v>242</v>
      </c>
      <c r="I21" s="16"/>
      <c r="J21" s="15">
        <f t="shared" si="1"/>
        <v>26056</v>
      </c>
      <c r="K21" s="15">
        <v>0</v>
      </c>
      <c r="L21" s="15">
        <f t="shared" si="2"/>
        <v>26056</v>
      </c>
      <c r="M21" s="30"/>
      <c r="N21" s="99">
        <v>8.5</v>
      </c>
      <c r="O21" s="50">
        <f t="shared" si="3"/>
        <v>221476</v>
      </c>
      <c r="P21" s="50">
        <f t="shared" si="4"/>
        <v>221476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360881</v>
      </c>
      <c r="E22" s="15"/>
      <c r="F22" s="15"/>
      <c r="G22" s="15">
        <f t="shared" si="0"/>
        <v>360881</v>
      </c>
      <c r="H22" s="15">
        <v>2730</v>
      </c>
      <c r="I22" s="16"/>
      <c r="J22" s="15">
        <f t="shared" si="1"/>
        <v>358151</v>
      </c>
      <c r="K22" s="15">
        <v>8000</v>
      </c>
      <c r="L22" s="15">
        <f t="shared" si="2"/>
        <v>366151</v>
      </c>
      <c r="M22" s="30"/>
      <c r="N22" s="99">
        <v>8.5</v>
      </c>
      <c r="O22" s="50">
        <f t="shared" si="3"/>
        <v>3112283.5</v>
      </c>
      <c r="P22" s="50">
        <f t="shared" si="4"/>
        <v>3044283.5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2913</v>
      </c>
      <c r="E23" s="15"/>
      <c r="F23" s="15"/>
      <c r="G23" s="15">
        <f t="shared" si="0"/>
        <v>2913</v>
      </c>
      <c r="H23" s="15">
        <v>779</v>
      </c>
      <c r="I23" s="16"/>
      <c r="J23" s="15">
        <f t="shared" si="1"/>
        <v>2134</v>
      </c>
      <c r="K23" s="15">
        <v>1500</v>
      </c>
      <c r="L23" s="15">
        <f t="shared" si="2"/>
        <v>3634</v>
      </c>
      <c r="M23" s="30" t="s">
        <v>75</v>
      </c>
      <c r="N23" s="99">
        <v>82</v>
      </c>
      <c r="O23" s="50">
        <f t="shared" si="3"/>
        <v>297988</v>
      </c>
      <c r="P23" s="50">
        <f t="shared" si="4"/>
        <v>174988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7156</v>
      </c>
      <c r="E24" s="29"/>
      <c r="F24" s="29"/>
      <c r="G24" s="15">
        <f t="shared" si="0"/>
        <v>7156</v>
      </c>
      <c r="H24" s="15"/>
      <c r="I24" s="16"/>
      <c r="J24" s="15">
        <f t="shared" si="1"/>
        <v>7156</v>
      </c>
      <c r="K24" s="15">
        <v>2713</v>
      </c>
      <c r="L24" s="15">
        <f t="shared" si="2"/>
        <v>9869</v>
      </c>
      <c r="M24" s="30"/>
      <c r="N24" s="99">
        <v>22.1</v>
      </c>
      <c r="O24" s="50">
        <f t="shared" si="3"/>
        <v>218104.90000000002</v>
      </c>
      <c r="P24" s="50">
        <f t="shared" si="4"/>
        <v>158147.6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155</v>
      </c>
      <c r="D26" s="15">
        <v>13094</v>
      </c>
      <c r="E26" s="15"/>
      <c r="F26" s="15"/>
      <c r="G26" s="15">
        <f t="shared" si="0"/>
        <v>13094</v>
      </c>
      <c r="H26" s="15">
        <v>691</v>
      </c>
      <c r="I26" s="16"/>
      <c r="J26" s="76">
        <f t="shared" si="1"/>
        <v>12403</v>
      </c>
      <c r="K26" s="76">
        <v>46</v>
      </c>
      <c r="L26" s="76">
        <f t="shared" si="2"/>
        <v>12449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161</v>
      </c>
      <c r="D29" s="15">
        <v>346</v>
      </c>
      <c r="E29" s="15"/>
      <c r="F29" s="15"/>
      <c r="G29" s="15">
        <f t="shared" si="0"/>
        <v>346</v>
      </c>
      <c r="H29" s="15"/>
      <c r="I29" s="16"/>
      <c r="J29" s="76">
        <f t="shared" si="1"/>
        <v>346</v>
      </c>
      <c r="K29" s="76">
        <v>0</v>
      </c>
      <c r="L29" s="76">
        <f t="shared" si="2"/>
        <v>346</v>
      </c>
      <c r="M29" s="78"/>
      <c r="N29" s="99">
        <v>72</v>
      </c>
      <c r="O29" s="50">
        <f t="shared" si="3"/>
        <v>24912</v>
      </c>
      <c r="P29" s="50">
        <f t="shared" si="4"/>
        <v>24912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9941</v>
      </c>
      <c r="E31" s="15"/>
      <c r="F31" s="15"/>
      <c r="G31" s="15">
        <f t="shared" si="0"/>
        <v>9941</v>
      </c>
      <c r="H31" s="15"/>
      <c r="I31" s="16"/>
      <c r="J31" s="76">
        <f t="shared" si="1"/>
        <v>9941</v>
      </c>
      <c r="K31" s="76">
        <v>0</v>
      </c>
      <c r="L31" s="76">
        <f t="shared" si="2"/>
        <v>9941</v>
      </c>
      <c r="M31" s="78"/>
      <c r="N31" s="99">
        <v>60</v>
      </c>
      <c r="O31" s="50">
        <f t="shared" si="3"/>
        <v>596460</v>
      </c>
      <c r="P31" s="50">
        <f t="shared" si="4"/>
        <v>596460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21049</v>
      </c>
      <c r="E32" s="15"/>
      <c r="F32" s="15"/>
      <c r="G32" s="15">
        <f t="shared" si="0"/>
        <v>21049</v>
      </c>
      <c r="H32" s="15">
        <v>3520</v>
      </c>
      <c r="I32" s="16"/>
      <c r="J32" s="76">
        <f t="shared" si="1"/>
        <v>17529</v>
      </c>
      <c r="K32" s="76"/>
      <c r="L32" s="76">
        <f t="shared" si="2"/>
        <v>17529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12968</v>
      </c>
      <c r="E33" s="15"/>
      <c r="F33" s="15"/>
      <c r="G33" s="15">
        <f t="shared" si="0"/>
        <v>12968</v>
      </c>
      <c r="H33" s="15">
        <v>179</v>
      </c>
      <c r="I33" s="16"/>
      <c r="J33" s="76">
        <f t="shared" si="1"/>
        <v>12789</v>
      </c>
      <c r="K33" s="76">
        <v>206</v>
      </c>
      <c r="L33" s="76">
        <f t="shared" si="2"/>
        <v>12995</v>
      </c>
      <c r="M33" s="30"/>
      <c r="N33" s="99">
        <v>12.49</v>
      </c>
      <c r="O33" s="50">
        <f t="shared" si="3"/>
        <v>162307.54999999999</v>
      </c>
      <c r="P33" s="50">
        <f t="shared" si="4"/>
        <v>159734.61000000002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141</v>
      </c>
      <c r="E34" s="15"/>
      <c r="F34" s="15"/>
      <c r="G34" s="15">
        <f t="shared" si="0"/>
        <v>141</v>
      </c>
      <c r="H34" s="15">
        <v>8</v>
      </c>
      <c r="I34" s="16"/>
      <c r="J34" s="76">
        <f t="shared" si="1"/>
        <v>133</v>
      </c>
      <c r="K34" s="76">
        <v>-50</v>
      </c>
      <c r="L34" s="76">
        <f t="shared" si="2"/>
        <v>83</v>
      </c>
      <c r="M34" s="77"/>
      <c r="N34" s="99">
        <v>435</v>
      </c>
      <c r="O34" s="50">
        <f t="shared" si="3"/>
        <v>36105</v>
      </c>
      <c r="P34" s="50">
        <f t="shared" si="4"/>
        <v>57855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95</v>
      </c>
      <c r="E35" s="15"/>
      <c r="F35" s="15"/>
      <c r="G35" s="15">
        <f t="shared" si="0"/>
        <v>95</v>
      </c>
      <c r="H35" s="15"/>
      <c r="I35" s="16"/>
      <c r="J35" s="76">
        <f>G35-H35-I35</f>
        <v>95</v>
      </c>
      <c r="K35" s="76">
        <v>-50</v>
      </c>
      <c r="L35" s="76">
        <f t="shared" si="2"/>
        <v>45</v>
      </c>
      <c r="M35" s="84"/>
      <c r="N35" s="99">
        <v>730</v>
      </c>
      <c r="O35" s="50">
        <f t="shared" si="3"/>
        <v>32850</v>
      </c>
      <c r="P35" s="50">
        <f t="shared" si="4"/>
        <v>69350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324</v>
      </c>
      <c r="E36" s="15"/>
      <c r="F36" s="15"/>
      <c r="G36" s="15">
        <f t="shared" si="0"/>
        <v>324</v>
      </c>
      <c r="H36" s="16">
        <v>3</v>
      </c>
      <c r="I36" s="16"/>
      <c r="J36" s="76">
        <f t="shared" si="1"/>
        <v>321</v>
      </c>
      <c r="K36" s="76">
        <v>-125</v>
      </c>
      <c r="L36" s="76">
        <f t="shared" si="2"/>
        <v>196</v>
      </c>
      <c r="M36" s="84"/>
      <c r="N36" s="99">
        <v>155</v>
      </c>
      <c r="O36" s="50">
        <f t="shared" si="3"/>
        <v>30380</v>
      </c>
      <c r="P36" s="50">
        <f t="shared" si="4"/>
        <v>49755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925</v>
      </c>
      <c r="E37" s="15"/>
      <c r="F37" s="15"/>
      <c r="G37" s="15">
        <f t="shared" si="0"/>
        <v>925</v>
      </c>
      <c r="H37" s="16">
        <v>52</v>
      </c>
      <c r="I37" s="16"/>
      <c r="J37" s="76">
        <f t="shared" si="1"/>
        <v>873</v>
      </c>
      <c r="K37" s="76">
        <v>0</v>
      </c>
      <c r="L37" s="76">
        <f t="shared" si="2"/>
        <v>873</v>
      </c>
      <c r="M37" s="84"/>
      <c r="N37" s="99">
        <v>125</v>
      </c>
      <c r="O37" s="50">
        <f t="shared" si="3"/>
        <v>109125</v>
      </c>
      <c r="P37" s="50">
        <f t="shared" si="4"/>
        <v>109125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268</v>
      </c>
      <c r="E39" s="15"/>
      <c r="F39" s="15"/>
      <c r="G39" s="15">
        <f t="shared" si="0"/>
        <v>268</v>
      </c>
      <c r="H39" s="16">
        <v>7</v>
      </c>
      <c r="I39" s="16"/>
      <c r="J39" s="76">
        <f t="shared" si="1"/>
        <v>261</v>
      </c>
      <c r="K39" s="76">
        <v>-70</v>
      </c>
      <c r="L39" s="76">
        <f t="shared" si="2"/>
        <v>191</v>
      </c>
      <c r="M39" s="84"/>
      <c r="N39" s="99">
        <v>975</v>
      </c>
      <c r="O39" s="50">
        <f t="shared" si="3"/>
        <v>186225</v>
      </c>
      <c r="P39" s="50">
        <f t="shared" si="4"/>
        <v>254475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627</v>
      </c>
      <c r="E41" s="15"/>
      <c r="F41" s="15"/>
      <c r="G41" s="15">
        <f t="shared" si="0"/>
        <v>627</v>
      </c>
      <c r="H41" s="16">
        <v>21</v>
      </c>
      <c r="I41" s="16"/>
      <c r="J41" s="76">
        <f t="shared" si="1"/>
        <v>606</v>
      </c>
      <c r="K41" s="76">
        <v>500</v>
      </c>
      <c r="L41" s="76">
        <f t="shared" si="2"/>
        <v>1106</v>
      </c>
      <c r="M41" s="84"/>
      <c r="N41" s="99">
        <v>125</v>
      </c>
      <c r="O41" s="50">
        <f t="shared" si="3"/>
        <v>138250</v>
      </c>
      <c r="P41" s="50">
        <f t="shared" si="4"/>
        <v>75750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10536</v>
      </c>
      <c r="E44" s="15"/>
      <c r="F44" s="15"/>
      <c r="G44" s="15">
        <f t="shared" si="0"/>
        <v>10536</v>
      </c>
      <c r="H44" s="16"/>
      <c r="I44" s="16"/>
      <c r="J44" s="76">
        <f t="shared" si="1"/>
        <v>10536</v>
      </c>
      <c r="K44" s="76">
        <v>2200</v>
      </c>
      <c r="L44" s="76">
        <f t="shared" si="2"/>
        <v>12736</v>
      </c>
      <c r="M44" s="84"/>
      <c r="N44" s="99">
        <v>80</v>
      </c>
      <c r="O44" s="50">
        <f t="shared" si="3"/>
        <v>1018880</v>
      </c>
      <c r="P44" s="50">
        <f t="shared" si="4"/>
        <v>842880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15573</v>
      </c>
      <c r="E46" s="15"/>
      <c r="F46" s="15"/>
      <c r="G46" s="15">
        <f t="shared" si="0"/>
        <v>15573</v>
      </c>
      <c r="H46" s="16">
        <v>96</v>
      </c>
      <c r="I46" s="16"/>
      <c r="J46" s="76">
        <f t="shared" si="1"/>
        <v>15477</v>
      </c>
      <c r="K46" s="76">
        <v>-180</v>
      </c>
      <c r="L46" s="76">
        <f t="shared" si="2"/>
        <v>15297</v>
      </c>
      <c r="M46" s="84"/>
      <c r="N46" s="99">
        <v>275</v>
      </c>
      <c r="O46" s="50">
        <f t="shared" si="3"/>
        <v>4206675</v>
      </c>
      <c r="P46" s="50">
        <f t="shared" si="4"/>
        <v>4256175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932</v>
      </c>
      <c r="E47" s="15"/>
      <c r="F47" s="15"/>
      <c r="G47" s="15">
        <f t="shared" si="0"/>
        <v>932</v>
      </c>
      <c r="H47" s="15">
        <v>25</v>
      </c>
      <c r="I47" s="16"/>
      <c r="J47" s="76">
        <f t="shared" si="1"/>
        <v>907</v>
      </c>
      <c r="K47" s="76">
        <v>0</v>
      </c>
      <c r="L47" s="76">
        <f t="shared" si="2"/>
        <v>907</v>
      </c>
      <c r="M47" s="84"/>
      <c r="N47" s="99">
        <v>250</v>
      </c>
      <c r="O47" s="50">
        <f t="shared" si="3"/>
        <v>226750</v>
      </c>
      <c r="P47" s="50">
        <f t="shared" si="4"/>
        <v>226750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269</v>
      </c>
      <c r="E49" s="15"/>
      <c r="F49" s="15"/>
      <c r="G49" s="15">
        <f t="shared" si="0"/>
        <v>269</v>
      </c>
      <c r="H49" s="15">
        <v>18</v>
      </c>
      <c r="I49" s="16"/>
      <c r="J49" s="76">
        <f t="shared" si="1"/>
        <v>251</v>
      </c>
      <c r="K49" s="76">
        <v>45</v>
      </c>
      <c r="L49" s="76">
        <f t="shared" si="2"/>
        <v>296</v>
      </c>
      <c r="M49" s="84"/>
      <c r="N49" s="99">
        <v>800</v>
      </c>
      <c r="O49" s="50">
        <f t="shared" si="3"/>
        <v>236800</v>
      </c>
      <c r="P49" s="50">
        <f t="shared" si="4"/>
        <v>200800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72</v>
      </c>
      <c r="E53" s="15"/>
      <c r="F53" s="15"/>
      <c r="G53" s="15">
        <f t="shared" si="0"/>
        <v>72</v>
      </c>
      <c r="H53" s="15">
        <v>1</v>
      </c>
      <c r="I53" s="20"/>
      <c r="J53" s="76">
        <f t="shared" si="1"/>
        <v>71</v>
      </c>
      <c r="K53" s="76">
        <v>0</v>
      </c>
      <c r="L53" s="76">
        <f t="shared" si="2"/>
        <v>71</v>
      </c>
      <c r="M53" s="84"/>
      <c r="N53" s="99">
        <v>1600</v>
      </c>
      <c r="O53" s="50">
        <f t="shared" si="3"/>
        <v>113600</v>
      </c>
      <c r="P53" s="50">
        <f t="shared" si="4"/>
        <v>113600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716</v>
      </c>
      <c r="E54" s="15"/>
      <c r="F54" s="15"/>
      <c r="G54" s="15">
        <f t="shared" si="0"/>
        <v>716</v>
      </c>
      <c r="H54" s="15">
        <v>6</v>
      </c>
      <c r="I54" s="16"/>
      <c r="J54" s="76">
        <f t="shared" si="1"/>
        <v>710</v>
      </c>
      <c r="K54" s="76">
        <v>-350</v>
      </c>
      <c r="L54" s="76">
        <f t="shared" si="2"/>
        <v>360</v>
      </c>
      <c r="M54" s="84"/>
      <c r="N54" s="99">
        <v>375</v>
      </c>
      <c r="O54" s="50">
        <f t="shared" si="3"/>
        <v>135000</v>
      </c>
      <c r="P54" s="50">
        <f t="shared" si="4"/>
        <v>266250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113</v>
      </c>
      <c r="E55" s="15"/>
      <c r="F55" s="15"/>
      <c r="G55" s="15">
        <f t="shared" si="0"/>
        <v>113</v>
      </c>
      <c r="H55" s="15"/>
      <c r="I55" s="21"/>
      <c r="J55" s="76">
        <f t="shared" si="1"/>
        <v>113</v>
      </c>
      <c r="K55" s="76">
        <v>9</v>
      </c>
      <c r="L55" s="76">
        <f t="shared" si="2"/>
        <v>122</v>
      </c>
      <c r="M55" s="30"/>
      <c r="N55" s="99">
        <v>425</v>
      </c>
      <c r="O55" s="50">
        <f t="shared" si="3"/>
        <v>51850</v>
      </c>
      <c r="P55" s="50">
        <f t="shared" si="4"/>
        <v>48025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400</v>
      </c>
      <c r="E56" s="15"/>
      <c r="F56" s="15"/>
      <c r="G56" s="15">
        <f t="shared" si="0"/>
        <v>400</v>
      </c>
      <c r="H56" s="15">
        <v>19</v>
      </c>
      <c r="I56" s="22"/>
      <c r="J56" s="76">
        <f t="shared" si="1"/>
        <v>381</v>
      </c>
      <c r="K56" s="76">
        <v>-200</v>
      </c>
      <c r="L56" s="76">
        <f t="shared" si="2"/>
        <v>181</v>
      </c>
      <c r="M56" s="84"/>
      <c r="N56" s="99">
        <v>390</v>
      </c>
      <c r="O56" s="50">
        <f t="shared" si="3"/>
        <v>70590</v>
      </c>
      <c r="P56" s="50">
        <f t="shared" si="4"/>
        <v>148590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-101</v>
      </c>
      <c r="E58" s="15">
        <v>650</v>
      </c>
      <c r="F58" s="15"/>
      <c r="G58" s="15">
        <f t="shared" si="0"/>
        <v>549</v>
      </c>
      <c r="H58" s="15">
        <v>13</v>
      </c>
      <c r="I58" s="16"/>
      <c r="J58" s="76">
        <f t="shared" si="1"/>
        <v>536</v>
      </c>
      <c r="K58" s="76">
        <v>50</v>
      </c>
      <c r="L58" s="76">
        <f t="shared" si="2"/>
        <v>586</v>
      </c>
      <c r="M58" s="30"/>
      <c r="N58" s="99">
        <v>132</v>
      </c>
      <c r="O58" s="50">
        <f t="shared" si="3"/>
        <v>77352</v>
      </c>
      <c r="P58" s="50">
        <f t="shared" si="4"/>
        <v>70752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349</v>
      </c>
      <c r="E59" s="15"/>
      <c r="F59" s="15"/>
      <c r="G59" s="15">
        <f t="shared" si="0"/>
        <v>349</v>
      </c>
      <c r="H59" s="15">
        <v>15</v>
      </c>
      <c r="I59" s="16"/>
      <c r="J59" s="76">
        <f t="shared" si="1"/>
        <v>334</v>
      </c>
      <c r="K59" s="76">
        <v>0</v>
      </c>
      <c r="L59" s="76">
        <f t="shared" si="2"/>
        <v>334</v>
      </c>
      <c r="M59" s="84"/>
      <c r="N59" s="99">
        <v>570</v>
      </c>
      <c r="O59" s="50">
        <f t="shared" si="3"/>
        <v>190380</v>
      </c>
      <c r="P59" s="50">
        <f t="shared" si="4"/>
        <v>190380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5291</v>
      </c>
      <c r="E62" s="15"/>
      <c r="F62" s="15"/>
      <c r="G62" s="15">
        <f t="shared" si="0"/>
        <v>5291</v>
      </c>
      <c r="H62" s="15">
        <v>55</v>
      </c>
      <c r="I62" s="16"/>
      <c r="J62" s="76">
        <f t="shared" si="1"/>
        <v>5236</v>
      </c>
      <c r="K62" s="76">
        <v>187</v>
      </c>
      <c r="L62" s="76">
        <f t="shared" si="2"/>
        <v>5423</v>
      </c>
      <c r="M62" s="30"/>
      <c r="N62" s="99">
        <v>87.38</v>
      </c>
      <c r="O62" s="50">
        <f t="shared" si="3"/>
        <v>473861.74</v>
      </c>
      <c r="P62" s="50">
        <f t="shared" si="4"/>
        <v>457521.68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-7</v>
      </c>
      <c r="E63" s="15"/>
      <c r="F63" s="15"/>
      <c r="G63" s="15">
        <f t="shared" si="0"/>
        <v>-7</v>
      </c>
      <c r="H63" s="15">
        <v>5</v>
      </c>
      <c r="I63" s="16"/>
      <c r="J63" s="76">
        <f t="shared" si="1"/>
        <v>-12</v>
      </c>
      <c r="K63" s="76">
        <v>300</v>
      </c>
      <c r="L63" s="76">
        <f t="shared" si="2"/>
        <v>288</v>
      </c>
      <c r="M63" s="84"/>
      <c r="N63" s="99">
        <v>290</v>
      </c>
      <c r="O63" s="50">
        <f t="shared" si="3"/>
        <v>83520</v>
      </c>
      <c r="P63" s="50">
        <f t="shared" si="4"/>
        <v>-3480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-18</v>
      </c>
      <c r="E64" s="23"/>
      <c r="F64" s="23"/>
      <c r="G64" s="23">
        <f t="shared" si="0"/>
        <v>-18</v>
      </c>
      <c r="H64" s="23">
        <v>12</v>
      </c>
      <c r="I64" s="23"/>
      <c r="J64" s="76">
        <f t="shared" si="1"/>
        <v>-30</v>
      </c>
      <c r="K64" s="79">
        <v>100</v>
      </c>
      <c r="L64" s="76">
        <f t="shared" si="2"/>
        <v>70</v>
      </c>
      <c r="M64" s="30"/>
      <c r="N64" s="99">
        <v>70</v>
      </c>
      <c r="O64" s="50">
        <f t="shared" si="3"/>
        <v>4900</v>
      </c>
      <c r="P64" s="50">
        <f t="shared" si="4"/>
        <v>-2100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-103</v>
      </c>
      <c r="E65" s="24"/>
      <c r="F65" s="24"/>
      <c r="G65" s="16">
        <f t="shared" si="0"/>
        <v>-103</v>
      </c>
      <c r="H65" s="24">
        <v>5</v>
      </c>
      <c r="I65" s="24"/>
      <c r="J65" s="76">
        <f t="shared" si="1"/>
        <v>-108</v>
      </c>
      <c r="K65" s="80">
        <v>108</v>
      </c>
      <c r="L65" s="76">
        <f t="shared" si="2"/>
        <v>0</v>
      </c>
      <c r="M65" s="86"/>
      <c r="N65" s="99">
        <v>240</v>
      </c>
      <c r="O65" s="50">
        <f t="shared" si="3"/>
        <v>0</v>
      </c>
      <c r="P65" s="50">
        <f t="shared" si="4"/>
        <v>-25920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295</v>
      </c>
      <c r="E66" s="24"/>
      <c r="F66" s="24"/>
      <c r="G66" s="16">
        <f t="shared" si="0"/>
        <v>295</v>
      </c>
      <c r="H66" s="24">
        <v>8</v>
      </c>
      <c r="I66" s="24"/>
      <c r="J66" s="76">
        <f t="shared" si="1"/>
        <v>287</v>
      </c>
      <c r="K66" s="81">
        <v>0</v>
      </c>
      <c r="L66" s="81">
        <f t="shared" si="2"/>
        <v>287</v>
      </c>
      <c r="M66" s="86"/>
      <c r="N66" s="99">
        <v>1100</v>
      </c>
      <c r="O66" s="50">
        <f t="shared" si="3"/>
        <v>315700</v>
      </c>
      <c r="P66" s="50">
        <f t="shared" si="4"/>
        <v>315700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296189</v>
      </c>
      <c r="E67" s="24"/>
      <c r="F67" s="24"/>
      <c r="G67" s="16">
        <f t="shared" si="0"/>
        <v>296189</v>
      </c>
      <c r="H67" s="24">
        <v>458</v>
      </c>
      <c r="I67" s="24"/>
      <c r="J67" s="76">
        <f t="shared" si="1"/>
        <v>295731</v>
      </c>
      <c r="K67" s="80">
        <v>2800</v>
      </c>
      <c r="L67" s="76">
        <f t="shared" si="2"/>
        <v>298531</v>
      </c>
      <c r="M67" s="84"/>
      <c r="N67" s="99">
        <v>53</v>
      </c>
      <c r="O67" s="50">
        <f t="shared" si="3"/>
        <v>15822143</v>
      </c>
      <c r="P67" s="50">
        <f t="shared" si="4"/>
        <v>15673743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157</v>
      </c>
      <c r="D69" s="16">
        <v>150</v>
      </c>
      <c r="E69" s="24"/>
      <c r="F69" s="24"/>
      <c r="G69" s="16">
        <f t="shared" si="0"/>
        <v>150</v>
      </c>
      <c r="H69" s="24"/>
      <c r="I69" s="24"/>
      <c r="J69" s="76">
        <f t="shared" si="1"/>
        <v>150</v>
      </c>
      <c r="K69" s="80">
        <v>0</v>
      </c>
      <c r="L69" s="76">
        <f t="shared" si="2"/>
        <v>150</v>
      </c>
      <c r="M69" s="84"/>
      <c r="N69" s="99">
        <v>1700</v>
      </c>
      <c r="O69" s="50">
        <f t="shared" si="3"/>
        <v>255000</v>
      </c>
      <c r="P69" s="50">
        <f t="shared" si="4"/>
        <v>255000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422</v>
      </c>
      <c r="E70" s="24"/>
      <c r="F70" s="24"/>
      <c r="G70" s="16">
        <f t="shared" si="0"/>
        <v>422</v>
      </c>
      <c r="H70" s="24">
        <v>1</v>
      </c>
      <c r="I70" s="24"/>
      <c r="J70" s="76">
        <f t="shared" si="1"/>
        <v>421</v>
      </c>
      <c r="K70" s="80">
        <v>-153</v>
      </c>
      <c r="L70" s="76">
        <f t="shared" si="2"/>
        <v>268</v>
      </c>
      <c r="M70" s="86"/>
      <c r="N70" s="99">
        <v>260</v>
      </c>
      <c r="O70" s="50">
        <f t="shared" si="3"/>
        <v>69680</v>
      </c>
      <c r="P70" s="50">
        <f t="shared" si="4"/>
        <v>109460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3029</v>
      </c>
      <c r="E72" s="24"/>
      <c r="F72" s="24"/>
      <c r="G72" s="16">
        <f t="shared" si="0"/>
        <v>3029</v>
      </c>
      <c r="H72" s="24">
        <v>73</v>
      </c>
      <c r="I72" s="24"/>
      <c r="J72" s="76">
        <f t="shared" si="5"/>
        <v>2956</v>
      </c>
      <c r="K72" s="80">
        <v>-200</v>
      </c>
      <c r="L72" s="76">
        <f t="shared" si="2"/>
        <v>2756</v>
      </c>
      <c r="M72" s="30"/>
      <c r="N72" s="99">
        <v>39</v>
      </c>
      <c r="O72" s="50">
        <f t="shared" si="6"/>
        <v>107484</v>
      </c>
      <c r="P72" s="50">
        <f t="shared" si="7"/>
        <v>115284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17531</v>
      </c>
      <c r="E73" s="24"/>
      <c r="F73" s="24"/>
      <c r="G73" s="16">
        <f t="shared" si="0"/>
        <v>17531</v>
      </c>
      <c r="H73" s="24">
        <v>104</v>
      </c>
      <c r="I73" s="42"/>
      <c r="J73" s="76">
        <f t="shared" si="5"/>
        <v>17427</v>
      </c>
      <c r="K73" s="80">
        <v>0</v>
      </c>
      <c r="L73" s="76">
        <f t="shared" si="2"/>
        <v>17427</v>
      </c>
      <c r="M73" s="84"/>
      <c r="N73" s="99">
        <v>83</v>
      </c>
      <c r="O73" s="50">
        <f t="shared" si="6"/>
        <v>1446441</v>
      </c>
      <c r="P73" s="50">
        <f t="shared" si="7"/>
        <v>1446441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2017</v>
      </c>
      <c r="E75" s="24"/>
      <c r="F75" s="24"/>
      <c r="G75" s="16">
        <f t="shared" si="0"/>
        <v>2017</v>
      </c>
      <c r="H75" s="24">
        <v>133</v>
      </c>
      <c r="I75" s="24"/>
      <c r="J75" s="76">
        <f t="shared" si="5"/>
        <v>1884</v>
      </c>
      <c r="K75" s="80">
        <v>273</v>
      </c>
      <c r="L75" s="76">
        <f t="shared" si="2"/>
        <v>2157</v>
      </c>
      <c r="M75" s="86"/>
      <c r="N75" s="99">
        <v>16</v>
      </c>
      <c r="O75" s="50">
        <f t="shared" si="6"/>
        <v>34512</v>
      </c>
      <c r="P75" s="50">
        <f t="shared" si="7"/>
        <v>30144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291</v>
      </c>
      <c r="E76" s="24"/>
      <c r="F76" s="24"/>
      <c r="G76" s="16">
        <f t="shared" si="0"/>
        <v>291</v>
      </c>
      <c r="H76" s="24">
        <v>10</v>
      </c>
      <c r="I76" s="24"/>
      <c r="J76" s="76">
        <f t="shared" si="5"/>
        <v>281</v>
      </c>
      <c r="K76" s="80">
        <v>-250</v>
      </c>
      <c r="L76" s="76">
        <f t="shared" si="2"/>
        <v>31</v>
      </c>
      <c r="M76" s="30"/>
      <c r="N76" s="99">
        <v>400</v>
      </c>
      <c r="O76" s="50">
        <f t="shared" si="6"/>
        <v>12400</v>
      </c>
      <c r="P76" s="50">
        <f t="shared" si="7"/>
        <v>112400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149</v>
      </c>
      <c r="D77" s="16">
        <v>498</v>
      </c>
      <c r="E77" s="24"/>
      <c r="F77" s="24"/>
      <c r="G77" s="16">
        <f t="shared" si="0"/>
        <v>498</v>
      </c>
      <c r="H77" s="24"/>
      <c r="I77" s="24"/>
      <c r="J77" s="76">
        <f t="shared" si="5"/>
        <v>498</v>
      </c>
      <c r="K77" s="80">
        <v>7</v>
      </c>
      <c r="L77" s="76">
        <f t="shared" si="2"/>
        <v>505</v>
      </c>
      <c r="M77" s="86"/>
      <c r="N77" s="99">
        <v>480</v>
      </c>
      <c r="O77" s="50">
        <f t="shared" si="6"/>
        <v>242400</v>
      </c>
      <c r="P77" s="50">
        <f t="shared" si="7"/>
        <v>239040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296</v>
      </c>
      <c r="E78" s="24"/>
      <c r="F78" s="24"/>
      <c r="G78" s="16">
        <f t="shared" si="0"/>
        <v>296</v>
      </c>
      <c r="H78" s="24">
        <v>9</v>
      </c>
      <c r="I78" s="24"/>
      <c r="J78" s="76">
        <f t="shared" si="5"/>
        <v>287</v>
      </c>
      <c r="K78" s="80">
        <v>100</v>
      </c>
      <c r="L78" s="76">
        <f t="shared" si="2"/>
        <v>387</v>
      </c>
      <c r="M78" s="86"/>
      <c r="N78" s="99">
        <v>900</v>
      </c>
      <c r="O78" s="50">
        <f t="shared" si="6"/>
        <v>348300</v>
      </c>
      <c r="P78" s="50">
        <f t="shared" si="7"/>
        <v>258300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14213</v>
      </c>
      <c r="E83" s="98"/>
      <c r="F83" s="24"/>
      <c r="G83" s="16">
        <f t="shared" si="8"/>
        <v>14213</v>
      </c>
      <c r="H83" s="24"/>
      <c r="I83" s="95"/>
      <c r="J83" s="76">
        <f t="shared" si="5"/>
        <v>14213</v>
      </c>
      <c r="K83" s="81">
        <v>0</v>
      </c>
      <c r="L83" s="76">
        <f t="shared" si="2"/>
        <v>14213</v>
      </c>
      <c r="M83" s="85"/>
      <c r="N83" s="100">
        <v>64</v>
      </c>
      <c r="O83" s="50">
        <f t="shared" si="6"/>
        <v>909632</v>
      </c>
      <c r="P83" s="50">
        <f t="shared" si="7"/>
        <v>909632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35</v>
      </c>
      <c r="E84" s="89"/>
      <c r="F84" s="12"/>
      <c r="G84" s="45">
        <f t="shared" si="8"/>
        <v>35</v>
      </c>
      <c r="H84" s="12">
        <v>1</v>
      </c>
      <c r="I84" s="94"/>
      <c r="J84" s="82">
        <f t="shared" ref="J84:J97" si="9">D84+E84-H84-I84</f>
        <v>34</v>
      </c>
      <c r="K84" s="96">
        <v>0</v>
      </c>
      <c r="L84" s="82">
        <f t="shared" si="2"/>
        <v>34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266</v>
      </c>
      <c r="E85" s="90"/>
      <c r="F85" s="11"/>
      <c r="G85" s="16">
        <f t="shared" si="8"/>
        <v>266</v>
      </c>
      <c r="H85" s="88">
        <v>22</v>
      </c>
      <c r="I85" s="11"/>
      <c r="J85" s="76">
        <f t="shared" si="9"/>
        <v>244</v>
      </c>
      <c r="K85" s="97">
        <v>500</v>
      </c>
      <c r="L85" s="76">
        <f t="shared" si="2"/>
        <v>744</v>
      </c>
      <c r="M85" s="86"/>
      <c r="N85" s="99">
        <v>350</v>
      </c>
      <c r="O85" s="50">
        <f t="shared" si="6"/>
        <v>260400</v>
      </c>
      <c r="P85" s="50">
        <f t="shared" si="7"/>
        <v>85400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378</v>
      </c>
      <c r="E86" s="90"/>
      <c r="F86" s="11"/>
      <c r="G86" s="16">
        <f t="shared" si="8"/>
        <v>378</v>
      </c>
      <c r="H86" s="88">
        <v>28</v>
      </c>
      <c r="I86" s="11"/>
      <c r="J86" s="76">
        <f t="shared" si="9"/>
        <v>350</v>
      </c>
      <c r="K86" s="97">
        <v>300</v>
      </c>
      <c r="L86" s="76">
        <f t="shared" si="2"/>
        <v>650</v>
      </c>
      <c r="M86" s="84"/>
      <c r="N86" s="99">
        <v>165</v>
      </c>
      <c r="O86" s="50">
        <f t="shared" si="6"/>
        <v>107250</v>
      </c>
      <c r="P86" s="50">
        <f t="shared" si="7"/>
        <v>57750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251</v>
      </c>
      <c r="E87" s="11"/>
      <c r="F87" s="11"/>
      <c r="G87" s="16">
        <f t="shared" si="8"/>
        <v>251</v>
      </c>
      <c r="H87" s="88">
        <v>9</v>
      </c>
      <c r="I87" s="11"/>
      <c r="J87" s="76">
        <f t="shared" si="9"/>
        <v>242</v>
      </c>
      <c r="K87" s="97">
        <v>-1</v>
      </c>
      <c r="L87" s="76">
        <f t="shared" si="2"/>
        <v>241</v>
      </c>
      <c r="M87" s="86"/>
      <c r="N87" s="99">
        <v>630</v>
      </c>
      <c r="O87" s="50">
        <f t="shared" si="6"/>
        <v>151830</v>
      </c>
      <c r="P87" s="50">
        <f t="shared" si="7"/>
        <v>152460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11</v>
      </c>
      <c r="E88" s="11"/>
      <c r="F88" s="11"/>
      <c r="G88" s="16">
        <f t="shared" si="8"/>
        <v>11</v>
      </c>
      <c r="H88" s="88"/>
      <c r="I88" s="11"/>
      <c r="J88" s="76">
        <f t="shared" si="9"/>
        <v>11</v>
      </c>
      <c r="K88" s="97">
        <v>0</v>
      </c>
      <c r="L88" s="76">
        <f t="shared" ref="L88:L97" si="10">J88+K88</f>
        <v>11</v>
      </c>
      <c r="M88" s="86"/>
      <c r="N88" s="99">
        <v>285</v>
      </c>
      <c r="O88" s="50">
        <f t="shared" si="6"/>
        <v>3135</v>
      </c>
      <c r="P88" s="50">
        <f t="shared" si="7"/>
        <v>3135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38</v>
      </c>
      <c r="E89" s="88"/>
      <c r="F89" s="11"/>
      <c r="G89" s="16">
        <f t="shared" si="8"/>
        <v>38</v>
      </c>
      <c r="H89" s="88"/>
      <c r="I89" s="11"/>
      <c r="J89" s="76">
        <f t="shared" si="9"/>
        <v>38</v>
      </c>
      <c r="K89" s="97">
        <v>0</v>
      </c>
      <c r="L89" s="76">
        <f t="shared" si="10"/>
        <v>38</v>
      </c>
      <c r="M89" s="86"/>
      <c r="N89" s="99">
        <v>205</v>
      </c>
      <c r="O89" s="50">
        <f t="shared" si="6"/>
        <v>7790</v>
      </c>
      <c r="P89" s="50">
        <f t="shared" si="7"/>
        <v>7790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323</v>
      </c>
      <c r="E92" s="88"/>
      <c r="F92" s="11"/>
      <c r="G92" s="16">
        <f t="shared" si="8"/>
        <v>323</v>
      </c>
      <c r="H92" s="88">
        <v>12</v>
      </c>
      <c r="I92" s="11"/>
      <c r="J92" s="83">
        <f t="shared" si="9"/>
        <v>311</v>
      </c>
      <c r="K92" s="97">
        <v>0</v>
      </c>
      <c r="L92" s="76">
        <f t="shared" si="10"/>
        <v>311</v>
      </c>
      <c r="M92" s="86"/>
      <c r="N92" s="99">
        <v>113</v>
      </c>
      <c r="O92" s="50">
        <f t="shared" si="6"/>
        <v>35143</v>
      </c>
      <c r="P92" s="50">
        <f t="shared" si="7"/>
        <v>35143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213</v>
      </c>
      <c r="E94" s="88"/>
      <c r="F94" s="11"/>
      <c r="G94" s="16">
        <f t="shared" si="8"/>
        <v>213</v>
      </c>
      <c r="H94" s="88">
        <v>9</v>
      </c>
      <c r="I94" s="11"/>
      <c r="J94" s="83">
        <f t="shared" si="9"/>
        <v>204</v>
      </c>
      <c r="K94" s="97">
        <v>-50</v>
      </c>
      <c r="L94" s="76">
        <f t="shared" si="10"/>
        <v>154</v>
      </c>
      <c r="M94" s="86"/>
      <c r="N94" s="99">
        <v>950</v>
      </c>
      <c r="O94" s="50">
        <f t="shared" si="6"/>
        <v>146300</v>
      </c>
      <c r="P94" s="50">
        <f t="shared" si="7"/>
        <v>193800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160</v>
      </c>
      <c r="D97" s="90">
        <v>2</v>
      </c>
      <c r="E97" s="88"/>
      <c r="F97" s="11"/>
      <c r="G97" s="16">
        <f t="shared" si="8"/>
        <v>2</v>
      </c>
      <c r="H97" s="88"/>
      <c r="I97" s="11"/>
      <c r="J97" s="83">
        <f t="shared" si="9"/>
        <v>2</v>
      </c>
      <c r="K97" s="97">
        <v>0</v>
      </c>
      <c r="L97" s="76">
        <f t="shared" si="10"/>
        <v>2</v>
      </c>
      <c r="M97" s="86"/>
      <c r="N97" s="99">
        <v>1750</v>
      </c>
      <c r="O97" s="50">
        <f t="shared" si="6"/>
        <v>3500</v>
      </c>
      <c r="P97" s="50">
        <f t="shared" si="7"/>
        <v>3500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2017153.2549999999</v>
      </c>
      <c r="E98" s="27">
        <f t="shared" ref="E98:L98" si="11">SUM(E6:E97)</f>
        <v>28831</v>
      </c>
      <c r="F98" s="27">
        <f t="shared" si="11"/>
        <v>38</v>
      </c>
      <c r="G98" s="27">
        <f t="shared" si="11"/>
        <v>2045946.2549999999</v>
      </c>
      <c r="H98" s="27">
        <f t="shared" si="11"/>
        <v>52999</v>
      </c>
      <c r="I98" s="27">
        <f t="shared" si="11"/>
        <v>0</v>
      </c>
      <c r="J98" s="27">
        <f t="shared" si="11"/>
        <v>1992947.2549999999</v>
      </c>
      <c r="K98" s="27">
        <f t="shared" si="11"/>
        <v>-583655</v>
      </c>
      <c r="L98" s="27">
        <f t="shared" si="11"/>
        <v>1409292.2549999999</v>
      </c>
      <c r="M98" s="27">
        <f>SUM(M6:M96)</f>
        <v>0</v>
      </c>
      <c r="N98" s="51"/>
      <c r="O98" s="51">
        <f t="shared" ref="O98" si="12">SUM(O6:O97)</f>
        <v>51615399.469999999</v>
      </c>
      <c r="P98" s="51">
        <f>SUM(P6:P97)</f>
        <v>63938754.170000002</v>
      </c>
      <c r="Q98" s="57">
        <f>O98-P98</f>
        <v>-12323354.700000003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25" t="s">
        <v>115</v>
      </c>
      <c r="M100" s="125"/>
      <c r="O100" s="55" t="s">
        <v>110</v>
      </c>
      <c r="P100" s="54">
        <v>79909923</v>
      </c>
    </row>
    <row r="101" spans="1:22">
      <c r="P101" s="54">
        <f>P100-P98</f>
        <v>15971168.829999998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J6" sqref="J6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136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19169</v>
      </c>
      <c r="E6" s="15"/>
      <c r="F6" s="16"/>
      <c r="G6" s="15">
        <f>D6+E6-F6</f>
        <v>19169</v>
      </c>
      <c r="H6" s="15">
        <v>11418</v>
      </c>
      <c r="I6" s="16"/>
      <c r="J6" s="15">
        <f>G6-H6-I6</f>
        <v>7751</v>
      </c>
      <c r="K6" s="15">
        <v>5000</v>
      </c>
      <c r="L6" s="15">
        <f>J6+K6</f>
        <v>12751</v>
      </c>
      <c r="M6" s="30"/>
      <c r="N6" s="99">
        <v>21.5</v>
      </c>
      <c r="O6" s="50">
        <f>L6*N6</f>
        <v>274146.5</v>
      </c>
      <c r="P6" s="50">
        <f>J6*N6</f>
        <v>166646.5</v>
      </c>
      <c r="Q6" s="43">
        <f>O6-P6</f>
        <v>107500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76895</v>
      </c>
      <c r="E7" s="15">
        <f>15000+15000</f>
        <v>30000</v>
      </c>
      <c r="F7" s="15">
        <f>39+39</f>
        <v>78</v>
      </c>
      <c r="G7" s="15">
        <f t="shared" ref="G7:G80" si="0">D7+E7-F7</f>
        <v>106817</v>
      </c>
      <c r="H7" s="15">
        <v>5867</v>
      </c>
      <c r="I7" s="15"/>
      <c r="J7" s="15">
        <f t="shared" ref="J7:J70" si="1">G7-H7-I7</f>
        <v>100950</v>
      </c>
      <c r="K7" s="15">
        <v>-5000</v>
      </c>
      <c r="L7" s="15">
        <f t="shared" ref="L7:L87" si="2">J7+K7</f>
        <v>95950</v>
      </c>
      <c r="M7" s="30" t="s">
        <v>75</v>
      </c>
      <c r="N7" s="99">
        <v>38</v>
      </c>
      <c r="O7" s="50">
        <f t="shared" ref="O7:O70" si="3">L7*N7</f>
        <v>3646100</v>
      </c>
      <c r="P7" s="50">
        <f t="shared" ref="P7:P70" si="4">J7*N7</f>
        <v>3836100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2208</v>
      </c>
      <c r="E8" s="15">
        <f>15010+14980</f>
        <v>29990</v>
      </c>
      <c r="F8" s="15">
        <f>39+39</f>
        <v>78</v>
      </c>
      <c r="G8" s="15">
        <f t="shared" si="0"/>
        <v>32120</v>
      </c>
      <c r="H8" s="15">
        <v>2158</v>
      </c>
      <c r="I8" s="15"/>
      <c r="J8" s="15">
        <f t="shared" si="1"/>
        <v>29962</v>
      </c>
      <c r="K8" s="15">
        <v>5000</v>
      </c>
      <c r="L8" s="15">
        <f t="shared" si="2"/>
        <v>34962</v>
      </c>
      <c r="M8" s="30" t="s">
        <v>75</v>
      </c>
      <c r="N8" s="99">
        <v>12</v>
      </c>
      <c r="O8" s="50">
        <f t="shared" si="3"/>
        <v>419544</v>
      </c>
      <c r="P8" s="50">
        <f t="shared" si="4"/>
        <v>359544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677185</v>
      </c>
      <c r="E10" s="15"/>
      <c r="F10" s="15"/>
      <c r="G10" s="15">
        <f t="shared" si="0"/>
        <v>677185</v>
      </c>
      <c r="H10" s="15">
        <v>593</v>
      </c>
      <c r="I10" s="15"/>
      <c r="J10" s="15">
        <f t="shared" si="1"/>
        <v>676592</v>
      </c>
      <c r="K10" s="15">
        <v>-607000</v>
      </c>
      <c r="L10" s="15">
        <f t="shared" si="2"/>
        <v>69592</v>
      </c>
      <c r="M10" s="30"/>
      <c r="N10" s="99">
        <v>23.09</v>
      </c>
      <c r="O10" s="50">
        <f t="shared" si="3"/>
        <v>1606879.28</v>
      </c>
      <c r="P10" s="50">
        <f t="shared" si="4"/>
        <v>15622509.279999999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-5810</v>
      </c>
      <c r="E11" s="15"/>
      <c r="F11" s="15"/>
      <c r="G11" s="15">
        <f t="shared" si="0"/>
        <v>-5810</v>
      </c>
      <c r="H11" s="15">
        <v>1067</v>
      </c>
      <c r="I11" s="15"/>
      <c r="J11" s="15">
        <f t="shared" si="1"/>
        <v>-6877</v>
      </c>
      <c r="K11" s="15">
        <v>2000</v>
      </c>
      <c r="L11" s="15">
        <f t="shared" si="2"/>
        <v>-4877</v>
      </c>
      <c r="M11" s="30" t="s">
        <v>75</v>
      </c>
      <c r="N11" s="99">
        <v>16.5</v>
      </c>
      <c r="O11" s="50">
        <f t="shared" si="3"/>
        <v>-80470.5</v>
      </c>
      <c r="P11" s="50">
        <f t="shared" si="4"/>
        <v>-113470.5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-3360</v>
      </c>
      <c r="E13" s="15"/>
      <c r="F13" s="15"/>
      <c r="G13" s="15">
        <f t="shared" si="0"/>
        <v>-3360</v>
      </c>
      <c r="H13" s="15">
        <v>1031</v>
      </c>
      <c r="I13" s="15"/>
      <c r="J13" s="15">
        <f t="shared" si="1"/>
        <v>-4391</v>
      </c>
      <c r="K13" s="15">
        <v>5000</v>
      </c>
      <c r="L13" s="15">
        <f t="shared" si="2"/>
        <v>609</v>
      </c>
      <c r="M13" s="30" t="s">
        <v>75</v>
      </c>
      <c r="N13" s="99">
        <v>27.5</v>
      </c>
      <c r="O13" s="50">
        <f t="shared" si="3"/>
        <v>16747.5</v>
      </c>
      <c r="P13" s="50">
        <f t="shared" si="4"/>
        <v>-120752.5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16101</v>
      </c>
      <c r="E14" s="15"/>
      <c r="F14" s="15"/>
      <c r="G14" s="15">
        <f t="shared" si="0"/>
        <v>16101</v>
      </c>
      <c r="H14" s="15">
        <v>39</v>
      </c>
      <c r="I14" s="16"/>
      <c r="J14" s="15">
        <f t="shared" si="1"/>
        <v>16062</v>
      </c>
      <c r="K14" s="15">
        <v>-1000</v>
      </c>
      <c r="L14" s="15">
        <f t="shared" si="2"/>
        <v>15062</v>
      </c>
      <c r="M14" s="30"/>
      <c r="N14" s="99">
        <v>59</v>
      </c>
      <c r="O14" s="50">
        <f t="shared" si="3"/>
        <v>888658</v>
      </c>
      <c r="P14" s="50">
        <f t="shared" si="4"/>
        <v>947658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35411</v>
      </c>
      <c r="E16" s="29"/>
      <c r="F16" s="15"/>
      <c r="G16" s="15">
        <f t="shared" si="0"/>
        <v>35411</v>
      </c>
      <c r="H16" s="15">
        <v>773</v>
      </c>
      <c r="I16" s="16"/>
      <c r="J16" s="15">
        <f t="shared" si="1"/>
        <v>34638</v>
      </c>
      <c r="K16" s="15">
        <v>0</v>
      </c>
      <c r="L16" s="15">
        <f>J16+K16</f>
        <v>34638</v>
      </c>
      <c r="M16" s="30"/>
      <c r="N16" s="99">
        <v>43.25</v>
      </c>
      <c r="O16" s="50">
        <f t="shared" si="3"/>
        <v>1498093.5</v>
      </c>
      <c r="P16" s="50">
        <f t="shared" si="4"/>
        <v>1498093.5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18934</v>
      </c>
      <c r="E19" s="15"/>
      <c r="F19" s="15"/>
      <c r="G19" s="15">
        <f t="shared" si="0"/>
        <v>18934</v>
      </c>
      <c r="H19" s="15">
        <v>417</v>
      </c>
      <c r="I19" s="16"/>
      <c r="J19" s="15">
        <f t="shared" si="1"/>
        <v>18517</v>
      </c>
      <c r="K19" s="15">
        <v>1000</v>
      </c>
      <c r="L19" s="15">
        <f t="shared" si="2"/>
        <v>19517</v>
      </c>
      <c r="M19" s="30"/>
      <c r="N19" s="99">
        <v>22.8</v>
      </c>
      <c r="O19" s="50">
        <f t="shared" si="3"/>
        <v>444987.60000000003</v>
      </c>
      <c r="P19" s="50">
        <f t="shared" si="4"/>
        <v>422187.60000000003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13367</v>
      </c>
      <c r="E20" s="15"/>
      <c r="F20" s="15"/>
      <c r="G20" s="15">
        <f t="shared" si="0"/>
        <v>13367</v>
      </c>
      <c r="H20" s="15">
        <v>3110</v>
      </c>
      <c r="I20" s="16"/>
      <c r="J20" s="15">
        <f t="shared" si="1"/>
        <v>10257</v>
      </c>
      <c r="K20" s="15">
        <v>0</v>
      </c>
      <c r="L20" s="15">
        <f t="shared" si="2"/>
        <v>10257</v>
      </c>
      <c r="M20" s="30" t="s">
        <v>75</v>
      </c>
      <c r="N20" s="99">
        <v>20</v>
      </c>
      <c r="O20" s="50">
        <f t="shared" si="3"/>
        <v>205140</v>
      </c>
      <c r="P20" s="50">
        <f t="shared" si="4"/>
        <v>205140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9014</v>
      </c>
      <c r="E21" s="15"/>
      <c r="F21" s="15"/>
      <c r="G21" s="15">
        <f t="shared" si="0"/>
        <v>9014</v>
      </c>
      <c r="H21" s="15">
        <v>239</v>
      </c>
      <c r="I21" s="16"/>
      <c r="J21" s="15">
        <f t="shared" si="1"/>
        <v>8775</v>
      </c>
      <c r="K21" s="15">
        <v>0</v>
      </c>
      <c r="L21" s="15">
        <f t="shared" si="2"/>
        <v>8775</v>
      </c>
      <c r="M21" s="30"/>
      <c r="N21" s="99">
        <v>8.5</v>
      </c>
      <c r="O21" s="50">
        <f t="shared" si="3"/>
        <v>74587.5</v>
      </c>
      <c r="P21" s="50">
        <f t="shared" si="4"/>
        <v>74587.5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259266</v>
      </c>
      <c r="E22" s="15"/>
      <c r="F22" s="15"/>
      <c r="G22" s="15">
        <f t="shared" si="0"/>
        <v>259266</v>
      </c>
      <c r="H22" s="15">
        <v>938</v>
      </c>
      <c r="I22" s="16"/>
      <c r="J22" s="15">
        <f t="shared" si="1"/>
        <v>258328</v>
      </c>
      <c r="K22" s="15">
        <v>8000</v>
      </c>
      <c r="L22" s="15">
        <f t="shared" si="2"/>
        <v>266328</v>
      </c>
      <c r="M22" s="30"/>
      <c r="N22" s="99">
        <v>8.5</v>
      </c>
      <c r="O22" s="50">
        <f t="shared" si="3"/>
        <v>2263788</v>
      </c>
      <c r="P22" s="50">
        <f t="shared" si="4"/>
        <v>2195788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6712</v>
      </c>
      <c r="E23" s="15"/>
      <c r="F23" s="15"/>
      <c r="G23" s="15">
        <f t="shared" si="0"/>
        <v>6712</v>
      </c>
      <c r="H23" s="15">
        <v>615</v>
      </c>
      <c r="I23" s="16"/>
      <c r="J23" s="15">
        <f t="shared" si="1"/>
        <v>6097</v>
      </c>
      <c r="K23" s="15">
        <v>1500</v>
      </c>
      <c r="L23" s="15">
        <f t="shared" si="2"/>
        <v>7597</v>
      </c>
      <c r="M23" s="30" t="s">
        <v>75</v>
      </c>
      <c r="N23" s="99">
        <v>82</v>
      </c>
      <c r="O23" s="50">
        <f t="shared" si="3"/>
        <v>622954</v>
      </c>
      <c r="P23" s="50">
        <f t="shared" si="4"/>
        <v>499954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20764</v>
      </c>
      <c r="E24" s="29"/>
      <c r="F24" s="29"/>
      <c r="G24" s="15">
        <f t="shared" si="0"/>
        <v>20764</v>
      </c>
      <c r="H24" s="15"/>
      <c r="I24" s="16"/>
      <c r="J24" s="15">
        <f t="shared" si="1"/>
        <v>20764</v>
      </c>
      <c r="K24" s="15">
        <v>2713</v>
      </c>
      <c r="L24" s="15">
        <f t="shared" si="2"/>
        <v>23477</v>
      </c>
      <c r="M24" s="30" t="s">
        <v>75</v>
      </c>
      <c r="N24" s="99">
        <v>22.1</v>
      </c>
      <c r="O24" s="50">
        <f t="shared" si="3"/>
        <v>518841.7</v>
      </c>
      <c r="P24" s="50">
        <f t="shared" si="4"/>
        <v>458884.4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12095</v>
      </c>
      <c r="E26" s="15"/>
      <c r="F26" s="15"/>
      <c r="G26" s="15">
        <f t="shared" si="0"/>
        <v>12095</v>
      </c>
      <c r="H26" s="15">
        <v>77</v>
      </c>
      <c r="I26" s="16"/>
      <c r="J26" s="76">
        <f t="shared" si="1"/>
        <v>12018</v>
      </c>
      <c r="K26" s="76">
        <v>0</v>
      </c>
      <c r="L26" s="76">
        <f t="shared" si="2"/>
        <v>12018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10051</v>
      </c>
      <c r="E31" s="15"/>
      <c r="F31" s="15"/>
      <c r="G31" s="15">
        <f t="shared" si="0"/>
        <v>10051</v>
      </c>
      <c r="H31" s="15"/>
      <c r="I31" s="16"/>
      <c r="J31" s="76">
        <f t="shared" si="1"/>
        <v>10051</v>
      </c>
      <c r="K31" s="76">
        <v>0</v>
      </c>
      <c r="L31" s="76">
        <f t="shared" si="2"/>
        <v>10051</v>
      </c>
      <c r="M31" s="78"/>
      <c r="N31" s="99">
        <v>60</v>
      </c>
      <c r="O31" s="50">
        <f t="shared" si="3"/>
        <v>603060</v>
      </c>
      <c r="P31" s="50">
        <f t="shared" si="4"/>
        <v>603060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74</v>
      </c>
      <c r="D32" s="15">
        <v>0</v>
      </c>
      <c r="E32" s="15"/>
      <c r="F32" s="15"/>
      <c r="G32" s="15">
        <f t="shared" si="0"/>
        <v>0</v>
      </c>
      <c r="H32" s="15"/>
      <c r="I32" s="16"/>
      <c r="J32" s="76">
        <f t="shared" si="1"/>
        <v>0</v>
      </c>
      <c r="K32" s="76"/>
      <c r="L32" s="76">
        <f t="shared" si="2"/>
        <v>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17403</v>
      </c>
      <c r="E33" s="15"/>
      <c r="F33" s="15"/>
      <c r="G33" s="15">
        <f t="shared" si="0"/>
        <v>17403</v>
      </c>
      <c r="H33" s="15">
        <v>124</v>
      </c>
      <c r="I33" s="16"/>
      <c r="J33" s="76">
        <f t="shared" si="1"/>
        <v>17279</v>
      </c>
      <c r="K33" s="76">
        <v>206</v>
      </c>
      <c r="L33" s="76">
        <f t="shared" si="2"/>
        <v>17485</v>
      </c>
      <c r="M33" s="30"/>
      <c r="N33" s="99">
        <v>12.49</v>
      </c>
      <c r="O33" s="50">
        <f t="shared" si="3"/>
        <v>218387.65</v>
      </c>
      <c r="P33" s="50">
        <f t="shared" si="4"/>
        <v>215814.71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262</v>
      </c>
      <c r="E34" s="15"/>
      <c r="F34" s="15"/>
      <c r="G34" s="15">
        <f t="shared" si="0"/>
        <v>262</v>
      </c>
      <c r="H34" s="15">
        <v>4</v>
      </c>
      <c r="I34" s="16"/>
      <c r="J34" s="76">
        <f t="shared" si="1"/>
        <v>258</v>
      </c>
      <c r="K34" s="76">
        <v>-50</v>
      </c>
      <c r="L34" s="76">
        <f t="shared" si="2"/>
        <v>208</v>
      </c>
      <c r="M34" s="77"/>
      <c r="N34" s="99">
        <v>435</v>
      </c>
      <c r="O34" s="50">
        <f t="shared" si="3"/>
        <v>90480</v>
      </c>
      <c r="P34" s="50">
        <f t="shared" si="4"/>
        <v>112230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194</v>
      </c>
      <c r="E35" s="15"/>
      <c r="F35" s="15"/>
      <c r="G35" s="15">
        <f t="shared" si="0"/>
        <v>194</v>
      </c>
      <c r="H35" s="15">
        <v>3</v>
      </c>
      <c r="I35" s="16"/>
      <c r="J35" s="76">
        <f>G35-H35-I35</f>
        <v>191</v>
      </c>
      <c r="K35" s="76">
        <v>-50</v>
      </c>
      <c r="L35" s="76">
        <f t="shared" si="2"/>
        <v>141</v>
      </c>
      <c r="M35" s="84"/>
      <c r="N35" s="99">
        <v>730</v>
      </c>
      <c r="O35" s="50">
        <f t="shared" si="3"/>
        <v>102930</v>
      </c>
      <c r="P35" s="50">
        <f t="shared" si="4"/>
        <v>139430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385</v>
      </c>
      <c r="E36" s="15"/>
      <c r="F36" s="15"/>
      <c r="G36" s="15">
        <f t="shared" si="0"/>
        <v>385</v>
      </c>
      <c r="H36" s="16">
        <v>2</v>
      </c>
      <c r="I36" s="16"/>
      <c r="J36" s="76">
        <f t="shared" si="1"/>
        <v>383</v>
      </c>
      <c r="K36" s="76">
        <v>-125</v>
      </c>
      <c r="L36" s="76">
        <f t="shared" si="2"/>
        <v>258</v>
      </c>
      <c r="M36" s="84"/>
      <c r="N36" s="99">
        <v>155</v>
      </c>
      <c r="O36" s="50">
        <f t="shared" si="3"/>
        <v>39990</v>
      </c>
      <c r="P36" s="50">
        <f t="shared" si="4"/>
        <v>59365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1441</v>
      </c>
      <c r="E37" s="15"/>
      <c r="F37" s="15"/>
      <c r="G37" s="15">
        <f t="shared" si="0"/>
        <v>1441</v>
      </c>
      <c r="H37" s="16">
        <v>37</v>
      </c>
      <c r="I37" s="16"/>
      <c r="J37" s="76">
        <f t="shared" si="1"/>
        <v>1404</v>
      </c>
      <c r="K37" s="76">
        <v>0</v>
      </c>
      <c r="L37" s="76">
        <f t="shared" si="2"/>
        <v>1404</v>
      </c>
      <c r="M37" s="84"/>
      <c r="N37" s="99">
        <v>125</v>
      </c>
      <c r="O37" s="50">
        <f t="shared" si="3"/>
        <v>175500</v>
      </c>
      <c r="P37" s="50">
        <f t="shared" si="4"/>
        <v>175500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255</v>
      </c>
      <c r="E39" s="15"/>
      <c r="F39" s="15"/>
      <c r="G39" s="15">
        <f t="shared" si="0"/>
        <v>255</v>
      </c>
      <c r="H39" s="16">
        <v>3</v>
      </c>
      <c r="I39" s="16"/>
      <c r="J39" s="76">
        <f t="shared" si="1"/>
        <v>252</v>
      </c>
      <c r="K39" s="76">
        <v>-70</v>
      </c>
      <c r="L39" s="76">
        <f t="shared" si="2"/>
        <v>182</v>
      </c>
      <c r="M39" s="84"/>
      <c r="N39" s="99">
        <v>975</v>
      </c>
      <c r="O39" s="50">
        <f t="shared" si="3"/>
        <v>177450</v>
      </c>
      <c r="P39" s="50">
        <f t="shared" si="4"/>
        <v>245700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358</v>
      </c>
      <c r="E41" s="15"/>
      <c r="F41" s="15"/>
      <c r="G41" s="15">
        <f t="shared" si="0"/>
        <v>358</v>
      </c>
      <c r="H41" s="16">
        <v>17</v>
      </c>
      <c r="I41" s="16"/>
      <c r="J41" s="76">
        <f t="shared" si="1"/>
        <v>341</v>
      </c>
      <c r="K41" s="76">
        <v>500</v>
      </c>
      <c r="L41" s="76">
        <f t="shared" si="2"/>
        <v>841</v>
      </c>
      <c r="M41" s="84"/>
      <c r="N41" s="99">
        <v>125</v>
      </c>
      <c r="O41" s="50">
        <f t="shared" si="3"/>
        <v>105125</v>
      </c>
      <c r="P41" s="50">
        <f t="shared" si="4"/>
        <v>42625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10956</v>
      </c>
      <c r="E44" s="15"/>
      <c r="F44" s="15"/>
      <c r="G44" s="15">
        <f t="shared" si="0"/>
        <v>10956</v>
      </c>
      <c r="H44" s="16"/>
      <c r="I44" s="16"/>
      <c r="J44" s="76">
        <f t="shared" si="1"/>
        <v>10956</v>
      </c>
      <c r="K44" s="76">
        <v>2200</v>
      </c>
      <c r="L44" s="76">
        <f t="shared" si="2"/>
        <v>13156</v>
      </c>
      <c r="M44" s="84"/>
      <c r="N44" s="99">
        <v>80</v>
      </c>
      <c r="O44" s="50">
        <f t="shared" si="3"/>
        <v>1052480</v>
      </c>
      <c r="P44" s="50">
        <f t="shared" si="4"/>
        <v>876480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17233</v>
      </c>
      <c r="E46" s="15"/>
      <c r="F46" s="15"/>
      <c r="G46" s="15">
        <f t="shared" si="0"/>
        <v>17233</v>
      </c>
      <c r="H46" s="16">
        <v>57</v>
      </c>
      <c r="I46" s="16"/>
      <c r="J46" s="76">
        <f t="shared" si="1"/>
        <v>17176</v>
      </c>
      <c r="K46" s="76">
        <v>-180</v>
      </c>
      <c r="L46" s="76">
        <f t="shared" si="2"/>
        <v>16996</v>
      </c>
      <c r="M46" s="84"/>
      <c r="N46" s="99">
        <v>275</v>
      </c>
      <c r="O46" s="50">
        <f t="shared" si="3"/>
        <v>4673900</v>
      </c>
      <c r="P46" s="50">
        <f t="shared" si="4"/>
        <v>4723400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0</v>
      </c>
      <c r="E49" s="15">
        <v>200</v>
      </c>
      <c r="F49" s="15"/>
      <c r="G49" s="15">
        <f t="shared" si="0"/>
        <v>200</v>
      </c>
      <c r="H49" s="15">
        <v>9</v>
      </c>
      <c r="I49" s="16"/>
      <c r="J49" s="76">
        <f t="shared" si="1"/>
        <v>191</v>
      </c>
      <c r="K49" s="76">
        <v>0</v>
      </c>
      <c r="L49" s="76">
        <f t="shared" si="2"/>
        <v>191</v>
      </c>
      <c r="M49" s="84"/>
      <c r="N49" s="99">
        <v>800</v>
      </c>
      <c r="O49" s="50">
        <f t="shared" si="3"/>
        <v>152800</v>
      </c>
      <c r="P49" s="50">
        <f t="shared" si="4"/>
        <v>152800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112</v>
      </c>
      <c r="E53" s="15"/>
      <c r="F53" s="15"/>
      <c r="G53" s="15">
        <f t="shared" si="0"/>
        <v>112</v>
      </c>
      <c r="H53" s="15">
        <v>3</v>
      </c>
      <c r="I53" s="20"/>
      <c r="J53" s="76">
        <f t="shared" si="1"/>
        <v>109</v>
      </c>
      <c r="K53" s="76">
        <v>0</v>
      </c>
      <c r="L53" s="76">
        <f t="shared" si="2"/>
        <v>109</v>
      </c>
      <c r="M53" s="84"/>
      <c r="N53" s="99">
        <v>1600</v>
      </c>
      <c r="O53" s="50">
        <f t="shared" si="3"/>
        <v>174400</v>
      </c>
      <c r="P53" s="50">
        <f t="shared" si="4"/>
        <v>174400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780</v>
      </c>
      <c r="E54" s="15"/>
      <c r="F54" s="15"/>
      <c r="G54" s="15">
        <f t="shared" si="0"/>
        <v>780</v>
      </c>
      <c r="H54" s="15">
        <v>6</v>
      </c>
      <c r="I54" s="16"/>
      <c r="J54" s="76">
        <f t="shared" si="1"/>
        <v>774</v>
      </c>
      <c r="K54" s="76">
        <v>-350</v>
      </c>
      <c r="L54" s="76">
        <f t="shared" si="2"/>
        <v>424</v>
      </c>
      <c r="M54" s="84"/>
      <c r="N54" s="99">
        <v>375</v>
      </c>
      <c r="O54" s="50">
        <f t="shared" si="3"/>
        <v>159000</v>
      </c>
      <c r="P54" s="50">
        <f t="shared" si="4"/>
        <v>290250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143</v>
      </c>
      <c r="E55" s="15"/>
      <c r="F55" s="15"/>
      <c r="G55" s="15">
        <f t="shared" si="0"/>
        <v>143</v>
      </c>
      <c r="H55" s="15"/>
      <c r="I55" s="21"/>
      <c r="J55" s="76">
        <f t="shared" si="1"/>
        <v>143</v>
      </c>
      <c r="K55" s="76">
        <v>9</v>
      </c>
      <c r="L55" s="76">
        <f t="shared" si="2"/>
        <v>152</v>
      </c>
      <c r="M55" s="30"/>
      <c r="N55" s="99">
        <v>425</v>
      </c>
      <c r="O55" s="50">
        <f t="shared" si="3"/>
        <v>64600</v>
      </c>
      <c r="P55" s="50">
        <f t="shared" si="4"/>
        <v>60775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284</v>
      </c>
      <c r="E56" s="15"/>
      <c r="F56" s="15"/>
      <c r="G56" s="15">
        <f t="shared" si="0"/>
        <v>284</v>
      </c>
      <c r="H56" s="15">
        <v>6</v>
      </c>
      <c r="I56" s="22"/>
      <c r="J56" s="76">
        <f t="shared" si="1"/>
        <v>278</v>
      </c>
      <c r="K56" s="76">
        <v>-220</v>
      </c>
      <c r="L56" s="76">
        <f t="shared" si="2"/>
        <v>58</v>
      </c>
      <c r="M56" s="84"/>
      <c r="N56" s="99">
        <v>390</v>
      </c>
      <c r="O56" s="50">
        <f t="shared" si="3"/>
        <v>22620</v>
      </c>
      <c r="P56" s="50">
        <f t="shared" si="4"/>
        <v>108420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119</v>
      </c>
      <c r="E58" s="15"/>
      <c r="F58" s="15"/>
      <c r="G58" s="15">
        <f t="shared" si="0"/>
        <v>119</v>
      </c>
      <c r="H58" s="15">
        <v>11</v>
      </c>
      <c r="I58" s="16"/>
      <c r="J58" s="76">
        <f t="shared" si="1"/>
        <v>108</v>
      </c>
      <c r="K58" s="76">
        <v>0</v>
      </c>
      <c r="L58" s="76">
        <f t="shared" si="2"/>
        <v>108</v>
      </c>
      <c r="M58" s="30"/>
      <c r="N58" s="99">
        <v>132</v>
      </c>
      <c r="O58" s="50">
        <f t="shared" si="3"/>
        <v>14256</v>
      </c>
      <c r="P58" s="50">
        <f t="shared" si="4"/>
        <v>14256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377</v>
      </c>
      <c r="E59" s="15"/>
      <c r="F59" s="15"/>
      <c r="G59" s="15">
        <f t="shared" si="0"/>
        <v>377</v>
      </c>
      <c r="H59" s="15">
        <v>7</v>
      </c>
      <c r="I59" s="16"/>
      <c r="J59" s="76">
        <f t="shared" si="1"/>
        <v>370</v>
      </c>
      <c r="K59" s="76">
        <v>0</v>
      </c>
      <c r="L59" s="76">
        <f t="shared" si="2"/>
        <v>370</v>
      </c>
      <c r="M59" s="84"/>
      <c r="N59" s="99">
        <v>570</v>
      </c>
      <c r="O59" s="50">
        <f t="shared" si="3"/>
        <v>210900</v>
      </c>
      <c r="P59" s="50">
        <f t="shared" si="4"/>
        <v>210900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17010</v>
      </c>
      <c r="E62" s="15"/>
      <c r="F62" s="15"/>
      <c r="G62" s="15">
        <f t="shared" si="0"/>
        <v>17010</v>
      </c>
      <c r="H62" s="15">
        <v>28</v>
      </c>
      <c r="I62" s="16"/>
      <c r="J62" s="76">
        <f t="shared" si="1"/>
        <v>16982</v>
      </c>
      <c r="K62" s="76">
        <v>187</v>
      </c>
      <c r="L62" s="76">
        <f t="shared" si="2"/>
        <v>17169</v>
      </c>
      <c r="M62" s="30"/>
      <c r="N62" s="99">
        <v>87.38</v>
      </c>
      <c r="O62" s="50">
        <f t="shared" si="3"/>
        <v>1500227.22</v>
      </c>
      <c r="P62" s="50">
        <f t="shared" si="4"/>
        <v>1483887.16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35</v>
      </c>
      <c r="E63" s="15"/>
      <c r="F63" s="15"/>
      <c r="G63" s="15">
        <f t="shared" si="0"/>
        <v>35</v>
      </c>
      <c r="H63" s="15">
        <v>2</v>
      </c>
      <c r="I63" s="16"/>
      <c r="J63" s="76">
        <f t="shared" si="1"/>
        <v>33</v>
      </c>
      <c r="K63" s="76">
        <v>300</v>
      </c>
      <c r="L63" s="76">
        <f t="shared" si="2"/>
        <v>333</v>
      </c>
      <c r="M63" s="84"/>
      <c r="N63" s="99">
        <v>290</v>
      </c>
      <c r="O63" s="50">
        <f t="shared" si="3"/>
        <v>96570</v>
      </c>
      <c r="P63" s="50">
        <f t="shared" si="4"/>
        <v>9570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5</v>
      </c>
      <c r="E64" s="23"/>
      <c r="F64" s="23"/>
      <c r="G64" s="23">
        <f t="shared" si="0"/>
        <v>5</v>
      </c>
      <c r="H64" s="23">
        <v>10</v>
      </c>
      <c r="I64" s="23"/>
      <c r="J64" s="76">
        <f t="shared" si="1"/>
        <v>-5</v>
      </c>
      <c r="K64" s="79">
        <v>100</v>
      </c>
      <c r="L64" s="76">
        <f t="shared" si="2"/>
        <v>95</v>
      </c>
      <c r="M64" s="30"/>
      <c r="N64" s="99">
        <v>70</v>
      </c>
      <c r="O64" s="50">
        <f t="shared" si="3"/>
        <v>6650</v>
      </c>
      <c r="P64" s="50">
        <f t="shared" si="4"/>
        <v>-350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995</v>
      </c>
      <c r="E65" s="24"/>
      <c r="F65" s="24"/>
      <c r="G65" s="16">
        <f t="shared" si="0"/>
        <v>995</v>
      </c>
      <c r="H65" s="24">
        <v>31</v>
      </c>
      <c r="I65" s="24"/>
      <c r="J65" s="76">
        <f t="shared" si="1"/>
        <v>964</v>
      </c>
      <c r="K65" s="80">
        <v>-550</v>
      </c>
      <c r="L65" s="76">
        <f t="shared" si="2"/>
        <v>414</v>
      </c>
      <c r="M65" s="86"/>
      <c r="N65" s="99">
        <v>240</v>
      </c>
      <c r="O65" s="50">
        <f t="shared" si="3"/>
        <v>99360</v>
      </c>
      <c r="P65" s="50">
        <f t="shared" si="4"/>
        <v>231360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400</v>
      </c>
      <c r="E66" s="24"/>
      <c r="F66" s="24"/>
      <c r="G66" s="16">
        <f t="shared" si="0"/>
        <v>400</v>
      </c>
      <c r="H66" s="24">
        <v>4</v>
      </c>
      <c r="I66" s="24"/>
      <c r="J66" s="76">
        <f t="shared" si="1"/>
        <v>396</v>
      </c>
      <c r="K66" s="81">
        <v>0</v>
      </c>
      <c r="L66" s="81">
        <f t="shared" si="2"/>
        <v>396</v>
      </c>
      <c r="M66" s="86"/>
      <c r="N66" s="99">
        <v>1100</v>
      </c>
      <c r="O66" s="50">
        <f t="shared" si="3"/>
        <v>435600</v>
      </c>
      <c r="P66" s="50">
        <f t="shared" si="4"/>
        <v>435600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1645</v>
      </c>
      <c r="E67" s="24"/>
      <c r="F67" s="24"/>
      <c r="G67" s="16">
        <f t="shared" si="0"/>
        <v>1645</v>
      </c>
      <c r="H67" s="24">
        <v>204</v>
      </c>
      <c r="I67" s="24"/>
      <c r="J67" s="76">
        <f t="shared" si="1"/>
        <v>1441</v>
      </c>
      <c r="K67" s="80">
        <v>0</v>
      </c>
      <c r="L67" s="76">
        <f t="shared" si="2"/>
        <v>1441</v>
      </c>
      <c r="M67" s="84"/>
      <c r="N67" s="99">
        <v>53</v>
      </c>
      <c r="O67" s="50">
        <f t="shared" si="3"/>
        <v>76373</v>
      </c>
      <c r="P67" s="50">
        <f t="shared" si="4"/>
        <v>76373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478</v>
      </c>
      <c r="E70" s="24"/>
      <c r="F70" s="24"/>
      <c r="G70" s="16">
        <f t="shared" si="0"/>
        <v>478</v>
      </c>
      <c r="H70" s="24">
        <v>2</v>
      </c>
      <c r="I70" s="24"/>
      <c r="J70" s="76">
        <f t="shared" si="1"/>
        <v>476</v>
      </c>
      <c r="K70" s="80">
        <v>-153</v>
      </c>
      <c r="L70" s="76">
        <f t="shared" si="2"/>
        <v>323</v>
      </c>
      <c r="M70" s="86"/>
      <c r="N70" s="99">
        <v>260</v>
      </c>
      <c r="O70" s="50">
        <f t="shared" si="3"/>
        <v>83980</v>
      </c>
      <c r="P70" s="50">
        <f t="shared" si="4"/>
        <v>123760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4568</v>
      </c>
      <c r="E72" s="24"/>
      <c r="F72" s="24"/>
      <c r="G72" s="16">
        <f t="shared" si="0"/>
        <v>4568</v>
      </c>
      <c r="H72" s="24">
        <v>43</v>
      </c>
      <c r="I72" s="24"/>
      <c r="J72" s="76">
        <f t="shared" si="5"/>
        <v>4525</v>
      </c>
      <c r="K72" s="80">
        <v>-200</v>
      </c>
      <c r="L72" s="76">
        <f t="shared" si="2"/>
        <v>4325</v>
      </c>
      <c r="M72" s="30"/>
      <c r="N72" s="99">
        <v>39</v>
      </c>
      <c r="O72" s="50">
        <f t="shared" si="6"/>
        <v>168675</v>
      </c>
      <c r="P72" s="50">
        <f t="shared" si="7"/>
        <v>176475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19762</v>
      </c>
      <c r="E73" s="24"/>
      <c r="F73" s="24"/>
      <c r="G73" s="16">
        <f t="shared" si="0"/>
        <v>19762</v>
      </c>
      <c r="H73" s="24">
        <v>59</v>
      </c>
      <c r="I73" s="42"/>
      <c r="J73" s="76">
        <f t="shared" si="5"/>
        <v>19703</v>
      </c>
      <c r="K73" s="80">
        <v>0</v>
      </c>
      <c r="L73" s="76">
        <f t="shared" si="2"/>
        <v>19703</v>
      </c>
      <c r="M73" s="84"/>
      <c r="N73" s="99">
        <v>83</v>
      </c>
      <c r="O73" s="50">
        <f t="shared" si="6"/>
        <v>1635349</v>
      </c>
      <c r="P73" s="50">
        <f t="shared" si="7"/>
        <v>1635349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2028</v>
      </c>
      <c r="E75" s="24"/>
      <c r="F75" s="24"/>
      <c r="G75" s="16">
        <f t="shared" si="0"/>
        <v>2028</v>
      </c>
      <c r="H75" s="24">
        <v>109</v>
      </c>
      <c r="I75" s="24"/>
      <c r="J75" s="76">
        <f t="shared" si="5"/>
        <v>1919</v>
      </c>
      <c r="K75" s="80">
        <v>273</v>
      </c>
      <c r="L75" s="76">
        <f t="shared" si="2"/>
        <v>2192</v>
      </c>
      <c r="M75" s="86"/>
      <c r="N75" s="99">
        <v>16</v>
      </c>
      <c r="O75" s="50">
        <f t="shared" si="6"/>
        <v>35072</v>
      </c>
      <c r="P75" s="50">
        <f t="shared" si="7"/>
        <v>30704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508</v>
      </c>
      <c r="E76" s="24"/>
      <c r="F76" s="24"/>
      <c r="G76" s="16">
        <f t="shared" si="0"/>
        <v>508</v>
      </c>
      <c r="H76" s="24">
        <v>8</v>
      </c>
      <c r="I76" s="24"/>
      <c r="J76" s="76">
        <f t="shared" si="5"/>
        <v>500</v>
      </c>
      <c r="K76" s="80">
        <v>-250</v>
      </c>
      <c r="L76" s="76">
        <f t="shared" si="2"/>
        <v>250</v>
      </c>
      <c r="M76" s="30"/>
      <c r="N76" s="99">
        <v>400</v>
      </c>
      <c r="O76" s="50">
        <f t="shared" si="6"/>
        <v>100000</v>
      </c>
      <c r="P76" s="50">
        <f t="shared" si="7"/>
        <v>200000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226</v>
      </c>
      <c r="E78" s="24"/>
      <c r="F78" s="24"/>
      <c r="G78" s="16">
        <f t="shared" si="0"/>
        <v>226</v>
      </c>
      <c r="H78" s="24">
        <v>5</v>
      </c>
      <c r="I78" s="24"/>
      <c r="J78" s="76">
        <f t="shared" si="5"/>
        <v>221</v>
      </c>
      <c r="K78" s="80">
        <v>100</v>
      </c>
      <c r="L78" s="76">
        <f t="shared" si="2"/>
        <v>321</v>
      </c>
      <c r="M78" s="86"/>
      <c r="N78" s="99">
        <v>900</v>
      </c>
      <c r="O78" s="50">
        <f t="shared" si="6"/>
        <v>288900</v>
      </c>
      <c r="P78" s="50">
        <f t="shared" si="7"/>
        <v>198900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6285</v>
      </c>
      <c r="E83" s="98"/>
      <c r="F83" s="24"/>
      <c r="G83" s="16">
        <f t="shared" si="8"/>
        <v>6285</v>
      </c>
      <c r="H83" s="24"/>
      <c r="I83" s="95"/>
      <c r="J83" s="76">
        <f t="shared" si="5"/>
        <v>6285</v>
      </c>
      <c r="K83" s="81">
        <v>0</v>
      </c>
      <c r="L83" s="76">
        <f t="shared" si="2"/>
        <v>6285</v>
      </c>
      <c r="M83" s="85"/>
      <c r="N83" s="100">
        <v>64</v>
      </c>
      <c r="O83" s="50">
        <f t="shared" si="6"/>
        <v>402240</v>
      </c>
      <c r="P83" s="50">
        <f t="shared" si="7"/>
        <v>402240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25</v>
      </c>
      <c r="E84" s="89"/>
      <c r="F84" s="12"/>
      <c r="G84" s="45">
        <f t="shared" si="8"/>
        <v>25</v>
      </c>
      <c r="H84" s="12">
        <v>1</v>
      </c>
      <c r="I84" s="94"/>
      <c r="J84" s="82">
        <f t="shared" ref="J84:J97" si="9">D84+E84-H84-I84</f>
        <v>24</v>
      </c>
      <c r="K84" s="96">
        <v>0</v>
      </c>
      <c r="L84" s="82">
        <f t="shared" si="2"/>
        <v>24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-8</v>
      </c>
      <c r="E85" s="90"/>
      <c r="F85" s="11"/>
      <c r="G85" s="16">
        <f t="shared" si="8"/>
        <v>-8</v>
      </c>
      <c r="H85" s="88"/>
      <c r="I85" s="11"/>
      <c r="J85" s="76">
        <f t="shared" si="9"/>
        <v>-8</v>
      </c>
      <c r="K85" s="97">
        <v>500</v>
      </c>
      <c r="L85" s="76">
        <f t="shared" si="2"/>
        <v>492</v>
      </c>
      <c r="M85" s="86"/>
      <c r="N85" s="99">
        <v>350</v>
      </c>
      <c r="O85" s="50">
        <f t="shared" si="6"/>
        <v>172200</v>
      </c>
      <c r="P85" s="50">
        <f t="shared" si="7"/>
        <v>-2800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427</v>
      </c>
      <c r="E86" s="90"/>
      <c r="F86" s="11"/>
      <c r="G86" s="16">
        <f t="shared" si="8"/>
        <v>427</v>
      </c>
      <c r="H86" s="88">
        <v>25</v>
      </c>
      <c r="I86" s="11"/>
      <c r="J86" s="76">
        <f t="shared" si="9"/>
        <v>402</v>
      </c>
      <c r="K86" s="97">
        <v>300</v>
      </c>
      <c r="L86" s="76">
        <f t="shared" si="2"/>
        <v>702</v>
      </c>
      <c r="M86" s="84"/>
      <c r="N86" s="99">
        <v>165</v>
      </c>
      <c r="O86" s="50">
        <f t="shared" si="6"/>
        <v>115830</v>
      </c>
      <c r="P86" s="50">
        <f t="shared" si="7"/>
        <v>66330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293</v>
      </c>
      <c r="E87" s="11"/>
      <c r="F87" s="11"/>
      <c r="G87" s="16">
        <f t="shared" si="8"/>
        <v>293</v>
      </c>
      <c r="H87" s="88">
        <v>2</v>
      </c>
      <c r="I87" s="11"/>
      <c r="J87" s="76">
        <f t="shared" si="9"/>
        <v>291</v>
      </c>
      <c r="K87" s="97">
        <v>-1</v>
      </c>
      <c r="L87" s="76">
        <f t="shared" si="2"/>
        <v>290</v>
      </c>
      <c r="M87" s="86"/>
      <c r="N87" s="99">
        <v>630</v>
      </c>
      <c r="O87" s="50">
        <f t="shared" si="6"/>
        <v>182700</v>
      </c>
      <c r="P87" s="50">
        <f t="shared" si="7"/>
        <v>183330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69</v>
      </c>
      <c r="E88" s="11"/>
      <c r="F88" s="11"/>
      <c r="G88" s="16">
        <f t="shared" si="8"/>
        <v>69</v>
      </c>
      <c r="H88" s="88">
        <v>3</v>
      </c>
      <c r="I88" s="11"/>
      <c r="J88" s="76">
        <f t="shared" si="9"/>
        <v>66</v>
      </c>
      <c r="K88" s="97">
        <v>8</v>
      </c>
      <c r="L88" s="76">
        <f t="shared" ref="L88:L97" si="10">J88+K88</f>
        <v>74</v>
      </c>
      <c r="M88" s="86"/>
      <c r="N88" s="99">
        <v>285</v>
      </c>
      <c r="O88" s="50">
        <f t="shared" si="6"/>
        <v>21090</v>
      </c>
      <c r="P88" s="50">
        <f t="shared" si="7"/>
        <v>18810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580</v>
      </c>
      <c r="E92" s="88"/>
      <c r="F92" s="11"/>
      <c r="G92" s="16">
        <f t="shared" si="8"/>
        <v>580</v>
      </c>
      <c r="H92" s="88">
        <v>9</v>
      </c>
      <c r="I92" s="11"/>
      <c r="J92" s="83">
        <f t="shared" si="9"/>
        <v>571</v>
      </c>
      <c r="K92" s="97">
        <v>0</v>
      </c>
      <c r="L92" s="76">
        <f t="shared" si="10"/>
        <v>571</v>
      </c>
      <c r="M92" s="86"/>
      <c r="N92" s="99">
        <v>113</v>
      </c>
      <c r="O92" s="50">
        <f t="shared" si="6"/>
        <v>64523</v>
      </c>
      <c r="P92" s="50">
        <f t="shared" si="7"/>
        <v>64523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365</v>
      </c>
      <c r="E94" s="88"/>
      <c r="F94" s="11"/>
      <c r="G94" s="16">
        <f t="shared" si="8"/>
        <v>365</v>
      </c>
      <c r="H94" s="88">
        <v>6</v>
      </c>
      <c r="I94" s="11"/>
      <c r="J94" s="83">
        <f t="shared" si="9"/>
        <v>359</v>
      </c>
      <c r="K94" s="97">
        <v>-50</v>
      </c>
      <c r="L94" s="76">
        <f t="shared" si="10"/>
        <v>309</v>
      </c>
      <c r="M94" s="86"/>
      <c r="N94" s="99">
        <v>950</v>
      </c>
      <c r="O94" s="50">
        <f t="shared" si="6"/>
        <v>293550</v>
      </c>
      <c r="P94" s="50">
        <f t="shared" si="7"/>
        <v>341050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1286786.2549999999</v>
      </c>
      <c r="E98" s="27">
        <f t="shared" ref="E98:L98" si="11">SUM(E6:E97)</f>
        <v>60190</v>
      </c>
      <c r="F98" s="27">
        <f t="shared" si="11"/>
        <v>156</v>
      </c>
      <c r="G98" s="27">
        <f t="shared" si="11"/>
        <v>1346820.2549999999</v>
      </c>
      <c r="H98" s="27">
        <f t="shared" si="11"/>
        <v>29182</v>
      </c>
      <c r="I98" s="27">
        <f t="shared" si="11"/>
        <v>0</v>
      </c>
      <c r="J98" s="27">
        <f t="shared" si="11"/>
        <v>1317638.2549999999</v>
      </c>
      <c r="K98" s="27">
        <f t="shared" si="11"/>
        <v>-576999</v>
      </c>
      <c r="L98" s="27">
        <f t="shared" si="11"/>
        <v>740639.25499999989</v>
      </c>
      <c r="M98" s="27">
        <f>SUM(M6:M96)</f>
        <v>0</v>
      </c>
      <c r="N98" s="51"/>
      <c r="O98" s="51">
        <f t="shared" ref="O98" si="12">SUM(O6:O97)</f>
        <v>31313846.620000001</v>
      </c>
      <c r="P98" s="51">
        <f>SUM(P6:P97)</f>
        <v>43769317.32</v>
      </c>
      <c r="Q98" s="57">
        <f>O98-P98</f>
        <v>-12455470.699999999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03" t="s">
        <v>115</v>
      </c>
      <c r="M100" s="103"/>
      <c r="O100" s="55" t="s">
        <v>110</v>
      </c>
      <c r="P100" s="54">
        <v>79909923</v>
      </c>
    </row>
    <row r="101" spans="1:22">
      <c r="P101" s="54">
        <f>P100-P98</f>
        <v>36140605.68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U104"/>
  <sheetViews>
    <sheetView zoomScale="115" zoomScaleNormal="115" workbookViewId="0">
      <pane ySplit="5" topLeftCell="A6" activePane="bottomLeft" state="frozen"/>
      <selection activeCell="C32" sqref="C32"/>
      <selection pane="bottomLeft" activeCell="C32" sqref="C32"/>
    </sheetView>
  </sheetViews>
  <sheetFormatPr defaultRowHeight="14.4"/>
  <cols>
    <col min="1" max="1" width="3" style="1" bestFit="1" customWidth="1"/>
    <col min="2" max="2" width="4.5546875" style="1" customWidth="1"/>
    <col min="3" max="3" width="17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33203125" style="1" customWidth="1"/>
    <col min="13" max="13" width="6.3320312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114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6.2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68"/>
      <c r="O5" s="69"/>
      <c r="P5" s="69"/>
      <c r="Q5" s="70"/>
    </row>
    <row r="6" spans="1:21" ht="9" customHeight="1">
      <c r="A6" s="10">
        <v>1</v>
      </c>
      <c r="B6" s="132" t="s">
        <v>28</v>
      </c>
      <c r="C6" s="14" t="s">
        <v>17</v>
      </c>
      <c r="D6" s="15"/>
      <c r="E6" s="29" t="e">
        <f>#REF!+#REF!+#REF!+#REF!+#REF!+#REF!+#REF!+#REF!+#REF!+#REF!+#REF!+#REF!+#REF!+#REF!+#REF!+#REF!+#REF!+#REF!+#REF!+#REF!+#REF!+#REF!+#REF!+#REF!+#REF!+#REF!+#REF!+#REF!+#REF!+#REF!+#REF!</f>
        <v>#REF!</v>
      </c>
      <c r="F6" s="29" t="e">
        <f>#REF!+#REF!+#REF!+#REF!+#REF!+#REF!+#REF!+#REF!+#REF!+#REF!+#REF!+#REF!+#REF!+#REF!+#REF!+#REF!+#REF!+#REF!+#REF!+#REF!+#REF!+#REF!+#REF!+#REF!+#REF!+#REF!+#REF!+#REF!+#REF!+#REF!+#REF!</f>
        <v>#REF!</v>
      </c>
      <c r="G6" s="15" t="e">
        <f>D6+E6-F6</f>
        <v>#REF!</v>
      </c>
      <c r="H6" s="29" t="e">
        <f>#REF!+#REF!+#REF!+#REF!+#REF!+#REF!+#REF!+#REF!+#REF!+#REF!+#REF!+#REF!+#REF!+#REF!+#REF!+#REF!+#REF!+#REF!+#REF!+#REF!+#REF!+#REF!+#REF!+#REF!+#REF!+#REF!+#REF!+#REF!+#REF!+#REF!+#REF!</f>
        <v>#REF!</v>
      </c>
      <c r="I6" s="29" t="e">
        <f>#REF!+#REF!+#REF!+#REF!+#REF!+#REF!+#REF!+#REF!+#REF!+#REF!+#REF!+#REF!+#REF!+#REF!+#REF!+#REF!+#REF!+#REF!+#REF!+#REF!+#REF!+#REF!+#REF!+#REF!+#REF!+#REF!+#REF!+#REF!+#REF!+#REF!+#REF!</f>
        <v>#REF!</v>
      </c>
      <c r="J6" s="15" t="e">
        <f>G6-H6-I6</f>
        <v>#REF!</v>
      </c>
      <c r="K6" s="15">
        <f>-95458.49+17514+19010-13000+3000+13027+5898-21000+8783</f>
        <v>-62226.490000000005</v>
      </c>
      <c r="L6" s="15" t="e">
        <f>J6+K6</f>
        <v>#REF!</v>
      </c>
      <c r="M6" s="30"/>
      <c r="N6" s="71"/>
      <c r="O6" s="72"/>
      <c r="P6" s="72"/>
      <c r="Q6" s="73"/>
      <c r="R6" s="44"/>
    </row>
    <row r="7" spans="1:21" ht="9" customHeight="1">
      <c r="A7" s="10">
        <v>2</v>
      </c>
      <c r="B7" s="133"/>
      <c r="C7" s="17" t="s">
        <v>31</v>
      </c>
      <c r="D7" s="15"/>
      <c r="E7" s="29" t="e">
        <f>#REF!+#REF!+#REF!+#REF!+#REF!+#REF!+#REF!+#REF!+#REF!+#REF!+#REF!+#REF!+#REF!+#REF!+#REF!+#REF!+#REF!+#REF!+#REF!+#REF!+#REF!+#REF!+#REF!+#REF!+#REF!+#REF!+#REF!+#REF!+#REF!+#REF!+#REF!</f>
        <v>#REF!</v>
      </c>
      <c r="F7" s="29" t="e">
        <f>#REF!+#REF!+#REF!+#REF!+#REF!+#REF!+#REF!+#REF!+#REF!+#REF!+#REF!+#REF!+#REF!+#REF!+#REF!+#REF!+#REF!+#REF!+#REF!+#REF!+#REF!+#REF!+#REF!+#REF!+#REF!+#REF!+#REF!+#REF!+#REF!+#REF!+#REF!</f>
        <v>#REF!</v>
      </c>
      <c r="G7" s="15" t="e">
        <f t="shared" ref="G7:G80" si="0">D7+E7-F7</f>
        <v>#REF!</v>
      </c>
      <c r="H7" s="29" t="e">
        <f>#REF!+#REF!+#REF!+#REF!+#REF!+#REF!+#REF!+#REF!+#REF!+#REF!+#REF!+#REF!+#REF!+#REF!+#REF!+#REF!+#REF!+#REF!+#REF!+#REF!+#REF!+#REF!+#REF!+#REF!+#REF!+#REF!+#REF!+#REF!+#REF!+#REF!+#REF!</f>
        <v>#REF!</v>
      </c>
      <c r="I7" s="29" t="e">
        <f>#REF!+#REF!+#REF!+#REF!+#REF!+#REF!+#REF!+#REF!+#REF!+#REF!+#REF!+#REF!+#REF!+#REF!+#REF!+#REF!+#REF!+#REF!+#REF!+#REF!+#REF!+#REF!+#REF!+#REF!+#REF!+#REF!+#REF!+#REF!+#REF!+#REF!+#REF!</f>
        <v>#REF!</v>
      </c>
      <c r="J7" s="15" t="e">
        <f t="shared" ref="J7:J70" si="1">G7-H7-I7</f>
        <v>#REF!</v>
      </c>
      <c r="K7" s="15">
        <v>-2000</v>
      </c>
      <c r="L7" s="15" t="e">
        <f t="shared" ref="L7:L87" si="2">J7+K7</f>
        <v>#REF!</v>
      </c>
      <c r="M7" s="30" t="s">
        <v>75</v>
      </c>
      <c r="N7" s="71"/>
      <c r="O7" s="72"/>
      <c r="P7" s="72"/>
      <c r="Q7" s="73"/>
      <c r="R7" s="44"/>
    </row>
    <row r="8" spans="1:21" ht="9" customHeight="1">
      <c r="A8" s="10">
        <v>3</v>
      </c>
      <c r="B8" s="133"/>
      <c r="C8" s="17" t="s">
        <v>32</v>
      </c>
      <c r="D8" s="15"/>
      <c r="E8" s="29" t="e">
        <f>#REF!+#REF!+#REF!+#REF!+#REF!+#REF!+#REF!+#REF!+#REF!+#REF!+#REF!+#REF!+#REF!+#REF!+#REF!+#REF!+#REF!+#REF!+#REF!+#REF!+#REF!+#REF!+#REF!+#REF!+#REF!+#REF!+#REF!+#REF!+#REF!+#REF!+#REF!</f>
        <v>#REF!</v>
      </c>
      <c r="F8" s="29" t="e">
        <f>#REF!+#REF!+#REF!+#REF!+#REF!+#REF!+#REF!+#REF!+#REF!+#REF!+#REF!+#REF!+#REF!+#REF!+#REF!+#REF!+#REF!+#REF!+#REF!+#REF!+#REF!+#REF!+#REF!+#REF!+#REF!+#REF!+#REF!+#REF!+#REF!+#REF!+#REF!</f>
        <v>#REF!</v>
      </c>
      <c r="G8" s="15" t="e">
        <f t="shared" si="0"/>
        <v>#REF!</v>
      </c>
      <c r="H8" s="29" t="e">
        <f>#REF!+#REF!+#REF!+#REF!+#REF!+#REF!+#REF!+#REF!+#REF!+#REF!+#REF!+#REF!+#REF!+#REF!+#REF!+#REF!+#REF!+#REF!+#REF!+#REF!+#REF!+#REF!+#REF!+#REF!+#REF!+#REF!+#REF!+#REF!+#REF!+#REF!+#REF!</f>
        <v>#REF!</v>
      </c>
      <c r="I8" s="29" t="e">
        <f>#REF!+#REF!+#REF!+#REF!+#REF!+#REF!+#REF!+#REF!+#REF!+#REF!+#REF!+#REF!+#REF!+#REF!+#REF!+#REF!+#REF!+#REF!+#REF!+#REF!+#REF!+#REF!+#REF!+#REF!+#REF!+#REF!+#REF!+#REF!+#REF!+#REF!+#REF!</f>
        <v>#REF!</v>
      </c>
      <c r="J8" s="15" t="e">
        <f t="shared" si="1"/>
        <v>#REF!</v>
      </c>
      <c r="K8" s="15">
        <v>-2000</v>
      </c>
      <c r="L8" s="15" t="e">
        <f t="shared" si="2"/>
        <v>#REF!</v>
      </c>
      <c r="M8" s="30"/>
      <c r="N8" s="71"/>
      <c r="O8" s="72"/>
      <c r="P8" s="72"/>
      <c r="Q8" s="73"/>
      <c r="R8" s="44"/>
      <c r="S8" s="13"/>
      <c r="T8" s="13"/>
      <c r="U8" s="13"/>
    </row>
    <row r="9" spans="1:21" ht="9" customHeight="1">
      <c r="A9" s="10">
        <v>4</v>
      </c>
      <c r="B9" s="133"/>
      <c r="C9" s="17" t="s">
        <v>9</v>
      </c>
      <c r="D9" s="15"/>
      <c r="E9" s="29" t="e">
        <f>#REF!+#REF!+#REF!+#REF!+#REF!+#REF!+#REF!+#REF!+#REF!+#REF!+#REF!+#REF!+#REF!+#REF!+#REF!+#REF!+#REF!+#REF!+#REF!+#REF!+#REF!+#REF!+#REF!+#REF!+#REF!+#REF!+#REF!+#REF!+#REF!+#REF!+#REF!</f>
        <v>#REF!</v>
      </c>
      <c r="F9" s="29" t="e">
        <f>#REF!+#REF!+#REF!+#REF!+#REF!+#REF!+#REF!+#REF!+#REF!+#REF!+#REF!+#REF!+#REF!+#REF!+#REF!+#REF!+#REF!+#REF!+#REF!+#REF!+#REF!+#REF!+#REF!+#REF!+#REF!+#REF!+#REF!+#REF!+#REF!+#REF!+#REF!</f>
        <v>#REF!</v>
      </c>
      <c r="G9" s="15" t="e">
        <f t="shared" si="0"/>
        <v>#REF!</v>
      </c>
      <c r="H9" s="29" t="e">
        <f>#REF!+#REF!+#REF!+#REF!+#REF!+#REF!+#REF!+#REF!+#REF!+#REF!+#REF!+#REF!+#REF!+#REF!+#REF!+#REF!+#REF!+#REF!+#REF!+#REF!+#REF!+#REF!+#REF!+#REF!+#REF!+#REF!+#REF!+#REF!+#REF!+#REF!+#REF!</f>
        <v>#REF!</v>
      </c>
      <c r="I9" s="29" t="e">
        <f>#REF!+#REF!+#REF!+#REF!+#REF!+#REF!+#REF!+#REF!+#REF!+#REF!+#REF!+#REF!+#REF!+#REF!+#REF!+#REF!+#REF!+#REF!+#REF!+#REF!+#REF!+#REF!+#REF!+#REF!+#REF!+#REF!+#REF!+#REF!+#REF!+#REF!+#REF!</f>
        <v>#REF!</v>
      </c>
      <c r="J9" s="15" t="e">
        <f t="shared" si="1"/>
        <v>#REF!</v>
      </c>
      <c r="K9" s="15">
        <v>-4000</v>
      </c>
      <c r="L9" s="15" t="e">
        <f t="shared" si="2"/>
        <v>#REF!</v>
      </c>
      <c r="M9" s="30" t="s">
        <v>75</v>
      </c>
      <c r="N9" s="71"/>
      <c r="O9" s="72"/>
      <c r="P9" s="72"/>
      <c r="Q9" s="73"/>
      <c r="R9" s="44"/>
      <c r="S9" s="13"/>
      <c r="T9" s="13"/>
      <c r="U9" s="13"/>
    </row>
    <row r="10" spans="1:21" ht="9" customHeight="1">
      <c r="A10" s="10">
        <v>5</v>
      </c>
      <c r="B10" s="133"/>
      <c r="C10" s="17" t="s">
        <v>13</v>
      </c>
      <c r="D10" s="15"/>
      <c r="E10" s="29" t="e">
        <f>#REF!+#REF!+#REF!+#REF!+#REF!+#REF!+#REF!+#REF!+#REF!+#REF!+#REF!+#REF!+#REF!+#REF!+#REF!+#REF!+#REF!+#REF!+#REF!+#REF!+#REF!+#REF!+#REF!+#REF!+#REF!+#REF!+#REF!+#REF!+#REF!+#REF!+#REF!</f>
        <v>#REF!</v>
      </c>
      <c r="F10" s="29" t="e">
        <f>#REF!+#REF!+#REF!+#REF!+#REF!+#REF!+#REF!+#REF!+#REF!+#REF!+#REF!+#REF!+#REF!+#REF!+#REF!+#REF!+#REF!+#REF!+#REF!+#REF!+#REF!+#REF!+#REF!+#REF!+#REF!+#REF!+#REF!+#REF!+#REF!+#REF!+#REF!</f>
        <v>#REF!</v>
      </c>
      <c r="G10" s="15" t="e">
        <f t="shared" si="0"/>
        <v>#REF!</v>
      </c>
      <c r="H10" s="29" t="e">
        <f>#REF!+#REF!+#REF!+#REF!+#REF!+#REF!+#REF!+#REF!+#REF!+#REF!+#REF!+#REF!+#REF!+#REF!+#REF!+#REF!+#REF!+#REF!+#REF!+#REF!+#REF!+#REF!+#REF!+#REF!+#REF!+#REF!+#REF!+#REF!+#REF!+#REF!+#REF!</f>
        <v>#REF!</v>
      </c>
      <c r="I10" s="29" t="e">
        <f>#REF!+#REF!+#REF!+#REF!+#REF!+#REF!+#REF!+#REF!+#REF!+#REF!+#REF!+#REF!+#REF!+#REF!+#REF!+#REF!+#REF!+#REF!+#REF!+#REF!+#REF!+#REF!+#REF!+#REF!+#REF!+#REF!+#REF!+#REF!+#REF!+#REF!+#REF!</f>
        <v>#REF!</v>
      </c>
      <c r="J10" s="15" t="e">
        <f t="shared" si="1"/>
        <v>#REF!</v>
      </c>
      <c r="K10" s="15">
        <f>-1048153+2536+255+293+30890+3872+149170+15000+15000+10650+1371+2790+2814+4183+1300+1487+2660+2824+3875+3388+20000</f>
        <v>-773795</v>
      </c>
      <c r="L10" s="15" t="e">
        <f t="shared" si="2"/>
        <v>#REF!</v>
      </c>
      <c r="M10" s="30"/>
      <c r="N10" s="71"/>
      <c r="O10" s="72"/>
      <c r="P10" s="72"/>
      <c r="Q10" s="73"/>
      <c r="R10" s="44"/>
      <c r="S10" s="13"/>
      <c r="T10" s="13"/>
      <c r="U10" s="13"/>
    </row>
    <row r="11" spans="1:21" ht="9" customHeight="1">
      <c r="A11" s="10">
        <v>6</v>
      </c>
      <c r="B11" s="133"/>
      <c r="C11" s="17" t="s">
        <v>20</v>
      </c>
      <c r="D11" s="15"/>
      <c r="E11" s="29" t="e">
        <f>#REF!+#REF!+#REF!+#REF!+#REF!+#REF!+#REF!+#REF!+#REF!+#REF!+#REF!+#REF!+#REF!+#REF!+#REF!+#REF!+#REF!+#REF!+#REF!+#REF!+#REF!+#REF!+#REF!+#REF!+#REF!+#REF!+#REF!+#REF!+#REF!+#REF!+#REF!</f>
        <v>#REF!</v>
      </c>
      <c r="F11" s="29" t="e">
        <f>#REF!+#REF!+#REF!+#REF!+#REF!+#REF!+#REF!+#REF!+#REF!+#REF!+#REF!+#REF!+#REF!+#REF!+#REF!+#REF!+#REF!+#REF!+#REF!+#REF!+#REF!+#REF!+#REF!+#REF!+#REF!+#REF!+#REF!+#REF!+#REF!+#REF!+#REF!</f>
        <v>#REF!</v>
      </c>
      <c r="G11" s="15" t="e">
        <f t="shared" si="0"/>
        <v>#REF!</v>
      </c>
      <c r="H11" s="29" t="e">
        <f>#REF!+#REF!+#REF!+#REF!+#REF!+#REF!+#REF!+#REF!+#REF!+#REF!+#REF!+#REF!+#REF!+#REF!+#REF!+#REF!+#REF!+#REF!+#REF!+#REF!+#REF!+#REF!+#REF!+#REF!+#REF!+#REF!+#REF!+#REF!+#REF!+#REF!+#REF!</f>
        <v>#REF!</v>
      </c>
      <c r="I11" s="29" t="e">
        <f>#REF!+#REF!+#REF!+#REF!+#REF!+#REF!+#REF!+#REF!+#REF!+#REF!+#REF!+#REF!+#REF!+#REF!+#REF!+#REF!+#REF!+#REF!+#REF!+#REF!+#REF!+#REF!+#REF!+#REF!+#REF!+#REF!+#REF!+#REF!+#REF!+#REF!+#REF!</f>
        <v>#REF!</v>
      </c>
      <c r="J11" s="15" t="e">
        <f t="shared" si="1"/>
        <v>#REF!</v>
      </c>
      <c r="K11" s="15">
        <v>0</v>
      </c>
      <c r="L11" s="15" t="e">
        <f t="shared" si="2"/>
        <v>#REF!</v>
      </c>
      <c r="M11" s="30"/>
      <c r="N11" s="71"/>
      <c r="O11" s="72"/>
      <c r="P11" s="72"/>
      <c r="Q11" s="73"/>
      <c r="R11" s="44"/>
      <c r="S11" s="13"/>
      <c r="T11" s="13"/>
      <c r="U11" s="13"/>
    </row>
    <row r="12" spans="1:21" ht="9" customHeight="1">
      <c r="A12" s="10">
        <v>7</v>
      </c>
      <c r="B12" s="133"/>
      <c r="C12" s="17" t="s">
        <v>19</v>
      </c>
      <c r="D12" s="15"/>
      <c r="E12" s="29" t="e">
        <f>#REF!+#REF!+#REF!+#REF!+#REF!+#REF!+#REF!+#REF!+#REF!+#REF!+#REF!+#REF!+#REF!+#REF!+#REF!+#REF!+#REF!+#REF!+#REF!+#REF!+#REF!+#REF!+#REF!+#REF!+#REF!+#REF!+#REF!+#REF!+#REF!+#REF!+#REF!</f>
        <v>#REF!</v>
      </c>
      <c r="F12" s="29" t="e">
        <f>#REF!+#REF!+#REF!+#REF!+#REF!+#REF!+#REF!+#REF!+#REF!+#REF!+#REF!+#REF!+#REF!+#REF!+#REF!+#REF!+#REF!+#REF!+#REF!+#REF!+#REF!+#REF!+#REF!+#REF!+#REF!+#REF!+#REF!+#REF!+#REF!+#REF!+#REF!</f>
        <v>#REF!</v>
      </c>
      <c r="G12" s="15" t="e">
        <f t="shared" si="0"/>
        <v>#REF!</v>
      </c>
      <c r="H12" s="29" t="e">
        <f>#REF!+#REF!+#REF!+#REF!+#REF!+#REF!+#REF!+#REF!+#REF!+#REF!+#REF!+#REF!+#REF!+#REF!+#REF!+#REF!+#REF!+#REF!+#REF!+#REF!+#REF!+#REF!+#REF!+#REF!+#REF!+#REF!+#REF!+#REF!+#REF!+#REF!+#REF!</f>
        <v>#REF!</v>
      </c>
      <c r="I12" s="29" t="e">
        <f>#REF!+#REF!+#REF!+#REF!+#REF!+#REF!+#REF!+#REF!+#REF!+#REF!+#REF!+#REF!+#REF!+#REF!+#REF!+#REF!+#REF!+#REF!+#REF!+#REF!+#REF!+#REF!+#REF!+#REF!+#REF!+#REF!+#REF!+#REF!+#REF!+#REF!+#REF!</f>
        <v>#REF!</v>
      </c>
      <c r="J12" s="15" t="e">
        <f t="shared" si="1"/>
        <v>#REF!</v>
      </c>
      <c r="K12" s="15">
        <f>-3000+5+548+104+209+72+20+30+84+105+340+41+200+20+30+50</f>
        <v>-1142</v>
      </c>
      <c r="L12" s="15" t="e">
        <f t="shared" si="2"/>
        <v>#REF!</v>
      </c>
      <c r="M12" s="30" t="s">
        <v>75</v>
      </c>
      <c r="N12" s="71"/>
      <c r="O12" s="72"/>
      <c r="P12" s="72"/>
      <c r="Q12" s="73"/>
      <c r="R12" s="44"/>
      <c r="S12" s="13"/>
      <c r="T12" s="13"/>
      <c r="U12" s="13"/>
    </row>
    <row r="13" spans="1:21" ht="9" customHeight="1">
      <c r="A13" s="10">
        <v>8</v>
      </c>
      <c r="B13" s="133"/>
      <c r="C13" s="17" t="s">
        <v>14</v>
      </c>
      <c r="D13" s="15"/>
      <c r="E13" s="29" t="e">
        <f>#REF!+#REF!+#REF!+#REF!+#REF!+#REF!+#REF!+#REF!+#REF!+#REF!+#REF!+#REF!+#REF!+#REF!+#REF!+#REF!+#REF!+#REF!+#REF!+#REF!+#REF!+#REF!+#REF!+#REF!+#REF!+#REF!+#REF!+#REF!+#REF!+#REF!+#REF!</f>
        <v>#REF!</v>
      </c>
      <c r="F13" s="29" t="e">
        <f>#REF!+#REF!+#REF!+#REF!+#REF!+#REF!+#REF!+#REF!+#REF!+#REF!+#REF!+#REF!+#REF!+#REF!+#REF!+#REF!+#REF!+#REF!+#REF!+#REF!+#REF!+#REF!+#REF!+#REF!+#REF!+#REF!+#REF!+#REF!+#REF!+#REF!+#REF!</f>
        <v>#REF!</v>
      </c>
      <c r="G13" s="15" t="e">
        <f t="shared" si="0"/>
        <v>#REF!</v>
      </c>
      <c r="H13" s="29" t="e">
        <f>#REF!+#REF!+#REF!+#REF!+#REF!+#REF!+#REF!+#REF!+#REF!+#REF!+#REF!+#REF!+#REF!+#REF!+#REF!+#REF!+#REF!+#REF!+#REF!+#REF!+#REF!+#REF!+#REF!+#REF!+#REF!+#REF!+#REF!+#REF!+#REF!+#REF!+#REF!</f>
        <v>#REF!</v>
      </c>
      <c r="I13" s="29" t="e">
        <f>#REF!+#REF!+#REF!+#REF!+#REF!+#REF!+#REF!+#REF!+#REF!+#REF!+#REF!+#REF!+#REF!+#REF!+#REF!+#REF!+#REF!+#REF!+#REF!+#REF!+#REF!+#REF!+#REF!+#REF!+#REF!+#REF!+#REF!+#REF!+#REF!+#REF!+#REF!</f>
        <v>#REF!</v>
      </c>
      <c r="J13" s="15" t="e">
        <f t="shared" si="1"/>
        <v>#REF!</v>
      </c>
      <c r="K13" s="15">
        <v>-1000</v>
      </c>
      <c r="L13" s="15" t="e">
        <f t="shared" si="2"/>
        <v>#REF!</v>
      </c>
      <c r="M13" s="30" t="s">
        <v>75</v>
      </c>
      <c r="N13" s="71"/>
      <c r="O13" s="72"/>
      <c r="P13" s="72"/>
      <c r="Q13" s="73"/>
      <c r="R13" s="44"/>
      <c r="S13" s="13"/>
      <c r="T13" s="13"/>
      <c r="U13" s="13"/>
    </row>
    <row r="14" spans="1:21" ht="9" customHeight="1">
      <c r="A14" s="10">
        <v>9</v>
      </c>
      <c r="B14" s="133"/>
      <c r="C14" s="17" t="s">
        <v>34</v>
      </c>
      <c r="D14" s="15"/>
      <c r="E14" s="29" t="e">
        <f>#REF!+#REF!+#REF!+#REF!+#REF!+#REF!+#REF!+#REF!+#REF!+#REF!+#REF!+#REF!+#REF!+#REF!+#REF!+#REF!+#REF!+#REF!+#REF!+#REF!+#REF!+#REF!+#REF!+#REF!+#REF!+#REF!+#REF!+#REF!+#REF!+#REF!+#REF!</f>
        <v>#REF!</v>
      </c>
      <c r="F14" s="29" t="e">
        <f>#REF!+#REF!+#REF!+#REF!+#REF!+#REF!+#REF!+#REF!+#REF!+#REF!+#REF!+#REF!+#REF!+#REF!+#REF!+#REF!+#REF!+#REF!+#REF!+#REF!+#REF!+#REF!+#REF!+#REF!+#REF!+#REF!+#REF!+#REF!+#REF!+#REF!+#REF!</f>
        <v>#REF!</v>
      </c>
      <c r="G14" s="15" t="e">
        <f t="shared" si="0"/>
        <v>#REF!</v>
      </c>
      <c r="H14" s="29" t="e">
        <f>#REF!+#REF!+#REF!+#REF!+#REF!+#REF!+#REF!+#REF!+#REF!+#REF!+#REF!+#REF!+#REF!+#REF!+#REF!+#REF!+#REF!+#REF!+#REF!+#REF!+#REF!+#REF!+#REF!+#REF!+#REF!+#REF!+#REF!+#REF!+#REF!+#REF!+#REF!</f>
        <v>#REF!</v>
      </c>
      <c r="I14" s="29" t="e">
        <f>#REF!+#REF!+#REF!+#REF!+#REF!+#REF!+#REF!+#REF!+#REF!+#REF!+#REF!+#REF!+#REF!+#REF!+#REF!+#REF!+#REF!+#REF!+#REF!+#REF!+#REF!+#REF!+#REF!+#REF!+#REF!+#REF!+#REF!+#REF!+#REF!+#REF!+#REF!</f>
        <v>#REF!</v>
      </c>
      <c r="J14" s="15" t="e">
        <f t="shared" si="1"/>
        <v>#REF!</v>
      </c>
      <c r="K14" s="15">
        <v>-5000</v>
      </c>
      <c r="L14" s="15" t="e">
        <f t="shared" si="2"/>
        <v>#REF!</v>
      </c>
      <c r="M14" s="31"/>
      <c r="N14" s="71"/>
      <c r="O14" s="72"/>
      <c r="P14" s="72"/>
      <c r="Q14" s="73"/>
      <c r="R14" s="44"/>
      <c r="S14" s="13"/>
      <c r="T14" s="13"/>
      <c r="U14" s="13"/>
    </row>
    <row r="15" spans="1:21" ht="9" customHeight="1">
      <c r="A15" s="10">
        <v>10</v>
      </c>
      <c r="B15" s="133"/>
      <c r="C15" s="18" t="s">
        <v>11</v>
      </c>
      <c r="D15" s="15"/>
      <c r="E15" s="29" t="e">
        <f>#REF!+#REF!+#REF!+#REF!+#REF!+#REF!+#REF!+#REF!+#REF!+#REF!+#REF!+#REF!+#REF!+#REF!+#REF!+#REF!+#REF!+#REF!+#REF!+#REF!+#REF!+#REF!+#REF!+#REF!+#REF!+#REF!+#REF!+#REF!+#REF!+#REF!+#REF!</f>
        <v>#REF!</v>
      </c>
      <c r="F15" s="29" t="e">
        <f>#REF!+#REF!+#REF!+#REF!+#REF!+#REF!+#REF!+#REF!+#REF!+#REF!+#REF!+#REF!+#REF!+#REF!+#REF!+#REF!+#REF!+#REF!+#REF!+#REF!+#REF!+#REF!+#REF!+#REF!+#REF!+#REF!+#REF!+#REF!+#REF!+#REF!+#REF!</f>
        <v>#REF!</v>
      </c>
      <c r="G15" s="15" t="e">
        <f t="shared" si="0"/>
        <v>#REF!</v>
      </c>
      <c r="H15" s="29" t="e">
        <f>#REF!+#REF!+#REF!+#REF!+#REF!+#REF!+#REF!+#REF!+#REF!+#REF!+#REF!+#REF!+#REF!+#REF!+#REF!+#REF!+#REF!+#REF!+#REF!+#REF!+#REF!+#REF!+#REF!+#REF!+#REF!+#REF!+#REF!+#REF!+#REF!+#REF!+#REF!</f>
        <v>#REF!</v>
      </c>
      <c r="I15" s="29" t="e">
        <f>#REF!+#REF!+#REF!+#REF!+#REF!+#REF!+#REF!+#REF!+#REF!+#REF!+#REF!+#REF!+#REF!+#REF!+#REF!+#REF!+#REF!+#REF!+#REF!+#REF!+#REF!+#REF!+#REF!+#REF!+#REF!+#REF!+#REF!+#REF!+#REF!+#REF!+#REF!</f>
        <v>#REF!</v>
      </c>
      <c r="J15" s="15" t="e">
        <f t="shared" si="1"/>
        <v>#REF!</v>
      </c>
      <c r="K15" s="15">
        <f>-1211+30</f>
        <v>-1181</v>
      </c>
      <c r="L15" s="15" t="e">
        <f t="shared" si="2"/>
        <v>#REF!</v>
      </c>
      <c r="M15" s="30" t="s">
        <v>75</v>
      </c>
      <c r="N15" s="71"/>
      <c r="O15" s="72"/>
      <c r="P15" s="72"/>
      <c r="Q15" s="73"/>
      <c r="R15" s="44"/>
      <c r="S15" s="13"/>
      <c r="T15" s="13"/>
      <c r="U15" s="13"/>
    </row>
    <row r="16" spans="1:21" ht="9" customHeight="1">
      <c r="A16" s="10">
        <v>11</v>
      </c>
      <c r="B16" s="133"/>
      <c r="C16" s="17" t="s">
        <v>33</v>
      </c>
      <c r="D16" s="15"/>
      <c r="E16" s="29" t="e">
        <f>#REF!+#REF!+#REF!+#REF!+#REF!+#REF!+#REF!+#REF!+#REF!+#REF!+#REF!+#REF!+#REF!+#REF!+#REF!+#REF!+#REF!+#REF!+#REF!+#REF!+#REF!+#REF!+#REF!+#REF!+#REF!+#REF!+#REF!+#REF!+#REF!+#REF!+#REF!</f>
        <v>#REF!</v>
      </c>
      <c r="F16" s="29" t="e">
        <f>#REF!+#REF!+#REF!+#REF!+#REF!+#REF!+#REF!+#REF!+#REF!+#REF!+#REF!+#REF!+#REF!+#REF!+#REF!+#REF!+#REF!+#REF!+#REF!+#REF!+#REF!+#REF!+#REF!+#REF!+#REF!+#REF!+#REF!+#REF!+#REF!+#REF!+#REF!</f>
        <v>#REF!</v>
      </c>
      <c r="G16" s="15" t="e">
        <f t="shared" si="0"/>
        <v>#REF!</v>
      </c>
      <c r="H16" s="29" t="e">
        <f>#REF!+#REF!+#REF!+#REF!+#REF!+#REF!+#REF!+#REF!+#REF!+#REF!+#REF!+#REF!+#REF!+#REF!+#REF!+#REF!+#REF!+#REF!+#REF!+#REF!+#REF!+#REF!+#REF!+#REF!+#REF!+#REF!+#REF!+#REF!+#REF!+#REF!+#REF!</f>
        <v>#REF!</v>
      </c>
      <c r="I16" s="29" t="e">
        <f>#REF!+#REF!+#REF!+#REF!+#REF!+#REF!+#REF!+#REF!+#REF!+#REF!+#REF!+#REF!+#REF!+#REF!+#REF!+#REF!+#REF!+#REF!+#REF!+#REF!+#REF!+#REF!+#REF!+#REF!+#REF!+#REF!+#REF!+#REF!+#REF!+#REF!+#REF!</f>
        <v>#REF!</v>
      </c>
      <c r="J16" s="15" t="e">
        <f t="shared" si="1"/>
        <v>#REF!</v>
      </c>
      <c r="K16" s="15">
        <f>-320+25+101+20</f>
        <v>-174</v>
      </c>
      <c r="L16" s="15" t="e">
        <f>J16+K16</f>
        <v>#REF!</v>
      </c>
      <c r="M16" s="30"/>
      <c r="N16" s="71"/>
      <c r="O16" s="72"/>
      <c r="P16" s="72"/>
      <c r="Q16" s="73"/>
      <c r="R16" s="44"/>
      <c r="S16" s="13"/>
      <c r="T16" s="13"/>
      <c r="U16" s="13"/>
    </row>
    <row r="17" spans="1:21" ht="9" customHeight="1">
      <c r="A17" s="10">
        <v>12</v>
      </c>
      <c r="B17" s="133"/>
      <c r="C17" s="14" t="s">
        <v>15</v>
      </c>
      <c r="D17" s="15"/>
      <c r="E17" s="29" t="e">
        <f>#REF!+#REF!+#REF!+#REF!+#REF!+#REF!+#REF!+#REF!+#REF!+#REF!+#REF!+#REF!+#REF!+#REF!+#REF!+#REF!+#REF!+#REF!+#REF!+#REF!+#REF!+#REF!+#REF!+#REF!+#REF!+#REF!+#REF!+#REF!+#REF!+#REF!+#REF!</f>
        <v>#REF!</v>
      </c>
      <c r="F17" s="29" t="e">
        <f>#REF!+#REF!+#REF!+#REF!+#REF!+#REF!+#REF!+#REF!+#REF!+#REF!+#REF!+#REF!+#REF!+#REF!+#REF!+#REF!+#REF!+#REF!+#REF!+#REF!+#REF!+#REF!+#REF!+#REF!+#REF!+#REF!+#REF!+#REF!+#REF!+#REF!+#REF!</f>
        <v>#REF!</v>
      </c>
      <c r="G17" s="15" t="e">
        <f t="shared" si="0"/>
        <v>#REF!</v>
      </c>
      <c r="H17" s="29" t="e">
        <f>#REF!+#REF!+#REF!+#REF!+#REF!+#REF!+#REF!+#REF!+#REF!+#REF!+#REF!+#REF!+#REF!+#REF!+#REF!+#REF!+#REF!+#REF!+#REF!+#REF!+#REF!+#REF!+#REF!+#REF!+#REF!+#REF!+#REF!+#REF!+#REF!+#REF!+#REF!</f>
        <v>#REF!</v>
      </c>
      <c r="I17" s="29" t="e">
        <f>#REF!+#REF!+#REF!+#REF!+#REF!+#REF!+#REF!+#REF!+#REF!+#REF!+#REF!+#REF!+#REF!+#REF!+#REF!+#REF!+#REF!+#REF!+#REF!+#REF!+#REF!+#REF!+#REF!+#REF!+#REF!+#REF!+#REF!+#REF!+#REF!+#REF!+#REF!</f>
        <v>#REF!</v>
      </c>
      <c r="J17" s="15" t="e">
        <f t="shared" si="1"/>
        <v>#REF!</v>
      </c>
      <c r="K17" s="15">
        <v>0</v>
      </c>
      <c r="L17" s="15" t="e">
        <f t="shared" si="2"/>
        <v>#REF!</v>
      </c>
      <c r="M17" s="31"/>
      <c r="N17" s="71"/>
      <c r="O17" s="72"/>
      <c r="P17" s="72"/>
      <c r="Q17" s="73"/>
      <c r="R17" s="44"/>
      <c r="S17" s="13"/>
      <c r="T17" s="13"/>
      <c r="U17" s="13"/>
    </row>
    <row r="18" spans="1:21" ht="9" customHeight="1">
      <c r="A18" s="10">
        <v>13</v>
      </c>
      <c r="B18" s="133"/>
      <c r="C18" s="17" t="s">
        <v>90</v>
      </c>
      <c r="D18" s="15"/>
      <c r="E18" s="29" t="e">
        <f>#REF!+#REF!+#REF!+#REF!+#REF!+#REF!+#REF!+#REF!+#REF!+#REF!+#REF!+#REF!+#REF!+#REF!+#REF!+#REF!+#REF!+#REF!+#REF!+#REF!+#REF!+#REF!+#REF!+#REF!+#REF!+#REF!+#REF!+#REF!+#REF!+#REF!+#REF!</f>
        <v>#REF!</v>
      </c>
      <c r="F18" s="29" t="e">
        <f>#REF!+#REF!+#REF!+#REF!+#REF!+#REF!+#REF!+#REF!+#REF!+#REF!+#REF!+#REF!+#REF!+#REF!+#REF!+#REF!+#REF!+#REF!+#REF!+#REF!+#REF!+#REF!+#REF!+#REF!+#REF!+#REF!+#REF!+#REF!+#REF!+#REF!+#REF!</f>
        <v>#REF!</v>
      </c>
      <c r="G18" s="15" t="e">
        <f t="shared" si="0"/>
        <v>#REF!</v>
      </c>
      <c r="H18" s="29" t="e">
        <f>#REF!+#REF!+#REF!+#REF!+#REF!+#REF!+#REF!+#REF!+#REF!+#REF!+#REF!+#REF!+#REF!+#REF!+#REF!+#REF!+#REF!+#REF!+#REF!+#REF!+#REF!+#REF!+#REF!+#REF!+#REF!+#REF!+#REF!+#REF!+#REF!+#REF!+#REF!</f>
        <v>#REF!</v>
      </c>
      <c r="I18" s="29" t="e">
        <f>#REF!+#REF!+#REF!+#REF!+#REF!+#REF!+#REF!+#REF!+#REF!+#REF!+#REF!+#REF!+#REF!+#REF!+#REF!+#REF!+#REF!+#REF!+#REF!+#REF!+#REF!+#REF!+#REF!+#REF!+#REF!+#REF!+#REF!+#REF!+#REF!+#REF!+#REF!</f>
        <v>#REF!</v>
      </c>
      <c r="J18" s="15" t="e">
        <f t="shared" si="1"/>
        <v>#REF!</v>
      </c>
      <c r="K18" s="15">
        <v>-2974</v>
      </c>
      <c r="L18" s="15" t="e">
        <f t="shared" si="2"/>
        <v>#REF!</v>
      </c>
      <c r="M18" s="31"/>
      <c r="N18" s="71"/>
      <c r="O18" s="72"/>
      <c r="P18" s="72"/>
      <c r="Q18" s="73"/>
      <c r="R18" s="44"/>
      <c r="S18" s="13"/>
      <c r="T18" s="13"/>
      <c r="U18" s="13"/>
    </row>
    <row r="19" spans="1:21" ht="9" customHeight="1">
      <c r="A19" s="10">
        <v>14</v>
      </c>
      <c r="B19" s="133"/>
      <c r="C19" s="17" t="s">
        <v>18</v>
      </c>
      <c r="D19" s="15"/>
      <c r="E19" s="29" t="e">
        <f>#REF!+#REF!+#REF!+#REF!+#REF!+#REF!+#REF!+#REF!+#REF!+#REF!+#REF!+#REF!+#REF!+#REF!+#REF!+#REF!+#REF!+#REF!+#REF!+#REF!+#REF!+#REF!+#REF!+#REF!+#REF!+#REF!+#REF!+#REF!+#REF!+#REF!+#REF!</f>
        <v>#REF!</v>
      </c>
      <c r="F19" s="29" t="e">
        <f>#REF!+#REF!+#REF!+#REF!+#REF!+#REF!+#REF!+#REF!+#REF!+#REF!+#REF!+#REF!+#REF!+#REF!+#REF!+#REF!+#REF!+#REF!+#REF!+#REF!+#REF!+#REF!+#REF!+#REF!+#REF!+#REF!+#REF!+#REF!+#REF!+#REF!+#REF!</f>
        <v>#REF!</v>
      </c>
      <c r="G19" s="15" t="e">
        <f t="shared" si="0"/>
        <v>#REF!</v>
      </c>
      <c r="H19" s="29" t="e">
        <f>#REF!+#REF!+#REF!+#REF!+#REF!+#REF!+#REF!+#REF!+#REF!+#REF!+#REF!+#REF!+#REF!+#REF!+#REF!+#REF!+#REF!+#REF!+#REF!+#REF!+#REF!+#REF!+#REF!+#REF!+#REF!+#REF!+#REF!+#REF!+#REF!+#REF!+#REF!</f>
        <v>#REF!</v>
      </c>
      <c r="I19" s="29" t="e">
        <f>#REF!+#REF!+#REF!+#REF!+#REF!+#REF!+#REF!+#REF!+#REF!+#REF!+#REF!+#REF!+#REF!+#REF!+#REF!+#REF!+#REF!+#REF!+#REF!+#REF!+#REF!+#REF!+#REF!+#REF!+#REF!+#REF!+#REF!+#REF!+#REF!+#REF!+#REF!</f>
        <v>#REF!</v>
      </c>
      <c r="J19" s="15" t="e">
        <f t="shared" si="1"/>
        <v>#REF!</v>
      </c>
      <c r="K19" s="15">
        <v>11000</v>
      </c>
      <c r="L19" s="15" t="e">
        <f t="shared" si="2"/>
        <v>#REF!</v>
      </c>
      <c r="M19" s="30"/>
      <c r="N19" s="71"/>
      <c r="O19" s="72"/>
      <c r="P19" s="72"/>
      <c r="Q19" s="73"/>
      <c r="R19" s="44"/>
      <c r="S19" s="13"/>
      <c r="T19" s="13"/>
      <c r="U19" s="13"/>
    </row>
    <row r="20" spans="1:21" ht="9" customHeight="1">
      <c r="A20" s="10">
        <v>15</v>
      </c>
      <c r="B20" s="133"/>
      <c r="C20" s="17" t="s">
        <v>23</v>
      </c>
      <c r="D20" s="15"/>
      <c r="E20" s="29" t="e">
        <f>#REF!+#REF!+#REF!+#REF!+#REF!+#REF!+#REF!+#REF!+#REF!+#REF!+#REF!+#REF!+#REF!+#REF!+#REF!+#REF!+#REF!+#REF!+#REF!+#REF!+#REF!+#REF!+#REF!+#REF!+#REF!+#REF!+#REF!+#REF!+#REF!+#REF!+#REF!</f>
        <v>#REF!</v>
      </c>
      <c r="F20" s="29" t="e">
        <f>#REF!+#REF!+#REF!+#REF!+#REF!+#REF!+#REF!+#REF!+#REF!+#REF!+#REF!+#REF!+#REF!+#REF!+#REF!+#REF!+#REF!+#REF!+#REF!+#REF!+#REF!+#REF!+#REF!+#REF!+#REF!+#REF!+#REF!+#REF!+#REF!+#REF!+#REF!</f>
        <v>#REF!</v>
      </c>
      <c r="G20" s="15" t="e">
        <f t="shared" si="0"/>
        <v>#REF!</v>
      </c>
      <c r="H20" s="29" t="e">
        <f>#REF!+#REF!+#REF!+#REF!+#REF!+#REF!+#REF!+#REF!+#REF!+#REF!+#REF!+#REF!+#REF!+#REF!+#REF!+#REF!+#REF!+#REF!+#REF!+#REF!+#REF!+#REF!+#REF!+#REF!+#REF!+#REF!+#REF!+#REF!+#REF!+#REF!+#REF!</f>
        <v>#REF!</v>
      </c>
      <c r="I20" s="29" t="e">
        <f>#REF!+#REF!+#REF!+#REF!+#REF!+#REF!+#REF!+#REF!+#REF!+#REF!+#REF!+#REF!+#REF!+#REF!+#REF!+#REF!+#REF!+#REF!+#REF!+#REF!+#REF!+#REF!+#REF!+#REF!+#REF!+#REF!+#REF!+#REF!+#REF!+#REF!+#REF!</f>
        <v>#REF!</v>
      </c>
      <c r="J20" s="15" t="e">
        <f t="shared" si="1"/>
        <v>#REF!</v>
      </c>
      <c r="K20" s="15">
        <v>0</v>
      </c>
      <c r="L20" s="15" t="e">
        <f t="shared" si="2"/>
        <v>#REF!</v>
      </c>
      <c r="M20" s="31"/>
      <c r="N20" s="71"/>
      <c r="O20" s="72"/>
      <c r="P20" s="72"/>
      <c r="Q20" s="73"/>
      <c r="R20" s="44"/>
      <c r="S20" s="13"/>
      <c r="T20" s="13"/>
      <c r="U20" s="13"/>
    </row>
    <row r="21" spans="1:21" ht="9" customHeight="1">
      <c r="A21" s="10">
        <v>16</v>
      </c>
      <c r="B21" s="133"/>
      <c r="C21" s="19" t="s">
        <v>72</v>
      </c>
      <c r="D21" s="15"/>
      <c r="E21" s="29" t="e">
        <f>#REF!+#REF!+#REF!+#REF!+#REF!+#REF!+#REF!+#REF!+#REF!+#REF!+#REF!+#REF!+#REF!+#REF!+#REF!+#REF!+#REF!+#REF!+#REF!+#REF!+#REF!+#REF!+#REF!+#REF!+#REF!+#REF!+#REF!+#REF!+#REF!+#REF!+#REF!</f>
        <v>#REF!</v>
      </c>
      <c r="F21" s="29" t="e">
        <f>#REF!+#REF!+#REF!+#REF!+#REF!+#REF!+#REF!+#REF!+#REF!+#REF!+#REF!+#REF!+#REF!+#REF!+#REF!+#REF!+#REF!+#REF!+#REF!+#REF!+#REF!+#REF!+#REF!+#REF!+#REF!+#REF!+#REF!+#REF!+#REF!+#REF!+#REF!</f>
        <v>#REF!</v>
      </c>
      <c r="G21" s="15" t="e">
        <f t="shared" si="0"/>
        <v>#REF!</v>
      </c>
      <c r="H21" s="29" t="e">
        <f>#REF!+#REF!+#REF!+#REF!+#REF!+#REF!+#REF!+#REF!+#REF!+#REF!+#REF!+#REF!+#REF!+#REF!+#REF!+#REF!+#REF!+#REF!+#REF!+#REF!+#REF!+#REF!+#REF!+#REF!+#REF!+#REF!+#REF!+#REF!+#REF!+#REF!+#REF!</f>
        <v>#REF!</v>
      </c>
      <c r="I21" s="29" t="e">
        <f>#REF!+#REF!+#REF!+#REF!+#REF!+#REF!+#REF!+#REF!+#REF!+#REF!+#REF!+#REF!+#REF!+#REF!+#REF!+#REF!+#REF!+#REF!+#REF!+#REF!+#REF!+#REF!+#REF!+#REF!+#REF!+#REF!+#REF!+#REF!+#REF!+#REF!+#REF!</f>
        <v>#REF!</v>
      </c>
      <c r="J21" s="15" t="e">
        <f t="shared" si="1"/>
        <v>#REF!</v>
      </c>
      <c r="K21" s="15">
        <v>100</v>
      </c>
      <c r="L21" s="15" t="e">
        <f t="shared" si="2"/>
        <v>#REF!</v>
      </c>
      <c r="M21" s="30"/>
      <c r="N21" s="71"/>
      <c r="O21" s="72"/>
      <c r="P21" s="72"/>
      <c r="Q21" s="73"/>
      <c r="R21" s="44"/>
      <c r="S21" s="13"/>
      <c r="T21" s="13"/>
      <c r="U21" s="13"/>
    </row>
    <row r="22" spans="1:21" ht="9" customHeight="1">
      <c r="A22" s="10">
        <v>17</v>
      </c>
      <c r="B22" s="133"/>
      <c r="C22" s="17" t="s">
        <v>109</v>
      </c>
      <c r="D22" s="15"/>
      <c r="E22" s="29" t="e">
        <f>#REF!+#REF!+#REF!+#REF!+#REF!+#REF!+#REF!+#REF!+#REF!+#REF!+#REF!+#REF!+#REF!+#REF!+#REF!+#REF!+#REF!+#REF!+#REF!+#REF!+#REF!+#REF!+#REF!+#REF!+#REF!+#REF!+#REF!+#REF!+#REF!+#REF!+#REF!</f>
        <v>#REF!</v>
      </c>
      <c r="F22" s="29" t="e">
        <f>#REF!+#REF!+#REF!+#REF!+#REF!+#REF!+#REF!+#REF!+#REF!+#REF!+#REF!+#REF!+#REF!+#REF!+#REF!+#REF!+#REF!+#REF!+#REF!+#REF!+#REF!+#REF!+#REF!+#REF!+#REF!+#REF!+#REF!+#REF!+#REF!+#REF!+#REF!</f>
        <v>#REF!</v>
      </c>
      <c r="G22" s="15" t="e">
        <f t="shared" si="0"/>
        <v>#REF!</v>
      </c>
      <c r="H22" s="29" t="e">
        <f>#REF!+#REF!+#REF!+#REF!+#REF!+#REF!+#REF!+#REF!+#REF!+#REF!+#REF!+#REF!+#REF!+#REF!+#REF!+#REF!+#REF!+#REF!+#REF!+#REF!+#REF!+#REF!+#REF!+#REF!+#REF!+#REF!+#REF!+#REF!+#REF!+#REF!+#REF!</f>
        <v>#REF!</v>
      </c>
      <c r="I22" s="29" t="e">
        <f>#REF!+#REF!+#REF!+#REF!+#REF!+#REF!+#REF!+#REF!+#REF!+#REF!+#REF!+#REF!+#REF!+#REF!+#REF!+#REF!+#REF!+#REF!+#REF!+#REF!+#REF!+#REF!+#REF!+#REF!+#REF!+#REF!+#REF!+#REF!+#REF!+#REF!+#REF!</f>
        <v>#REF!</v>
      </c>
      <c r="J22" s="15" t="e">
        <f t="shared" si="1"/>
        <v>#REF!</v>
      </c>
      <c r="K22" s="15">
        <v>0</v>
      </c>
      <c r="L22" s="15" t="e">
        <f t="shared" si="2"/>
        <v>#REF!</v>
      </c>
      <c r="M22" s="30"/>
      <c r="N22" s="71"/>
      <c r="O22" s="72"/>
      <c r="P22" s="72"/>
      <c r="Q22" s="73"/>
      <c r="R22" s="44"/>
      <c r="S22" s="13"/>
      <c r="T22" s="13"/>
      <c r="U22" s="13"/>
    </row>
    <row r="23" spans="1:21" ht="9" customHeight="1">
      <c r="A23" s="10">
        <v>18</v>
      </c>
      <c r="B23" s="133"/>
      <c r="C23" s="17" t="s">
        <v>88</v>
      </c>
      <c r="D23" s="15"/>
      <c r="E23" s="29" t="e">
        <f>#REF!+#REF!+#REF!+#REF!+#REF!+#REF!+#REF!+#REF!+#REF!+#REF!+#REF!+#REF!+#REF!+#REF!+#REF!+#REF!+#REF!+#REF!+#REF!+#REF!+#REF!+#REF!+#REF!+#REF!+#REF!+#REF!+#REF!+#REF!+#REF!+#REF!+#REF!</f>
        <v>#REF!</v>
      </c>
      <c r="F23" s="29" t="e">
        <f>#REF!+#REF!+#REF!+#REF!+#REF!+#REF!+#REF!+#REF!+#REF!+#REF!+#REF!+#REF!+#REF!+#REF!+#REF!+#REF!+#REF!+#REF!+#REF!+#REF!+#REF!+#REF!+#REF!+#REF!+#REF!+#REF!+#REF!+#REF!+#REF!+#REF!+#REF!</f>
        <v>#REF!</v>
      </c>
      <c r="G23" s="15" t="e">
        <f t="shared" si="0"/>
        <v>#REF!</v>
      </c>
      <c r="H23" s="29" t="e">
        <f>#REF!+#REF!+#REF!+#REF!+#REF!+#REF!+#REF!+#REF!+#REF!+#REF!+#REF!+#REF!+#REF!+#REF!+#REF!+#REF!+#REF!+#REF!+#REF!+#REF!+#REF!+#REF!+#REF!+#REF!+#REF!+#REF!+#REF!+#REF!+#REF!+#REF!+#REF!</f>
        <v>#REF!</v>
      </c>
      <c r="I23" s="29" t="e">
        <f>#REF!+#REF!+#REF!+#REF!+#REF!+#REF!+#REF!+#REF!+#REF!+#REF!+#REF!+#REF!+#REF!+#REF!+#REF!+#REF!+#REF!+#REF!+#REF!+#REF!+#REF!+#REF!+#REF!+#REF!+#REF!+#REF!+#REF!+#REF!+#REF!+#REF!+#REF!</f>
        <v>#REF!</v>
      </c>
      <c r="J23" s="15" t="e">
        <f t="shared" si="1"/>
        <v>#REF!</v>
      </c>
      <c r="K23" s="15">
        <v>0</v>
      </c>
      <c r="L23" s="15" t="e">
        <f t="shared" si="2"/>
        <v>#REF!</v>
      </c>
      <c r="M23" s="30" t="s">
        <v>75</v>
      </c>
      <c r="N23" s="71"/>
      <c r="O23" s="72"/>
      <c r="P23" s="72"/>
      <c r="Q23" s="73"/>
      <c r="R23" s="44"/>
      <c r="S23" s="13"/>
      <c r="T23" s="13"/>
      <c r="U23" s="13"/>
    </row>
    <row r="24" spans="1:21" ht="9" customHeight="1">
      <c r="A24" s="10">
        <v>19</v>
      </c>
      <c r="B24" s="133"/>
      <c r="C24" s="17" t="s">
        <v>8</v>
      </c>
      <c r="D24" s="15"/>
      <c r="E24" s="29" t="e">
        <f>#REF!+#REF!+#REF!+#REF!+#REF!+#REF!+#REF!+#REF!+#REF!+#REF!+#REF!+#REF!+#REF!+#REF!+#REF!+#REF!+#REF!+#REF!+#REF!+#REF!+#REF!+#REF!+#REF!+#REF!+#REF!+#REF!+#REF!+#REF!+#REF!+#REF!+#REF!</f>
        <v>#REF!</v>
      </c>
      <c r="F24" s="29" t="e">
        <f>#REF!+#REF!+#REF!+#REF!+#REF!+#REF!+#REF!+#REF!+#REF!+#REF!+#REF!+#REF!+#REF!+#REF!+#REF!+#REF!+#REF!+#REF!+#REF!+#REF!+#REF!+#REF!+#REF!+#REF!+#REF!+#REF!+#REF!+#REF!+#REF!+#REF!+#REF!</f>
        <v>#REF!</v>
      </c>
      <c r="G24" s="15" t="e">
        <f t="shared" si="0"/>
        <v>#REF!</v>
      </c>
      <c r="H24" s="29" t="e">
        <f>#REF!+#REF!+#REF!+#REF!+#REF!+#REF!+#REF!+#REF!+#REF!+#REF!+#REF!+#REF!+#REF!+#REF!+#REF!+#REF!+#REF!+#REF!+#REF!+#REF!+#REF!+#REF!+#REF!+#REF!+#REF!+#REF!+#REF!+#REF!+#REF!+#REF!+#REF!</f>
        <v>#REF!</v>
      </c>
      <c r="I24" s="29" t="e">
        <f>#REF!+#REF!+#REF!+#REF!+#REF!+#REF!+#REF!+#REF!+#REF!+#REF!+#REF!+#REF!+#REF!+#REF!+#REF!+#REF!+#REF!+#REF!+#REF!+#REF!+#REF!+#REF!+#REF!+#REF!+#REF!+#REF!+#REF!+#REF!+#REF!+#REF!+#REF!</f>
        <v>#REF!</v>
      </c>
      <c r="J24" s="15" t="e">
        <f t="shared" si="1"/>
        <v>#REF!</v>
      </c>
      <c r="K24" s="15">
        <v>-1000</v>
      </c>
      <c r="L24" s="15" t="e">
        <f t="shared" si="2"/>
        <v>#REF!</v>
      </c>
      <c r="M24" s="30" t="s">
        <v>75</v>
      </c>
      <c r="N24" s="71"/>
      <c r="O24" s="72"/>
      <c r="P24" s="72"/>
      <c r="Q24" s="73"/>
      <c r="R24" s="44"/>
      <c r="S24" s="13"/>
      <c r="T24" s="13"/>
      <c r="U24" s="13"/>
    </row>
    <row r="25" spans="1:21" ht="9" customHeight="1">
      <c r="A25" s="10">
        <v>20</v>
      </c>
      <c r="B25" s="133"/>
      <c r="C25" s="17" t="s">
        <v>73</v>
      </c>
      <c r="D25" s="15"/>
      <c r="E25" s="29" t="e">
        <f>#REF!+#REF!+#REF!+#REF!+#REF!+#REF!+#REF!+#REF!+#REF!+#REF!+#REF!+#REF!+#REF!+#REF!+#REF!+#REF!+#REF!+#REF!+#REF!+#REF!+#REF!+#REF!+#REF!+#REF!+#REF!+#REF!+#REF!+#REF!+#REF!+#REF!+#REF!</f>
        <v>#REF!</v>
      </c>
      <c r="F25" s="29" t="e">
        <f>#REF!+#REF!+#REF!+#REF!+#REF!+#REF!+#REF!+#REF!+#REF!+#REF!+#REF!+#REF!+#REF!+#REF!+#REF!+#REF!+#REF!+#REF!+#REF!+#REF!+#REF!+#REF!+#REF!+#REF!+#REF!+#REF!+#REF!+#REF!+#REF!+#REF!+#REF!</f>
        <v>#REF!</v>
      </c>
      <c r="G25" s="15" t="e">
        <f t="shared" si="0"/>
        <v>#REF!</v>
      </c>
      <c r="H25" s="29" t="e">
        <f>#REF!+#REF!+#REF!+#REF!+#REF!+#REF!+#REF!+#REF!+#REF!+#REF!+#REF!+#REF!+#REF!+#REF!+#REF!+#REF!+#REF!+#REF!+#REF!+#REF!+#REF!+#REF!+#REF!+#REF!+#REF!+#REF!+#REF!+#REF!+#REF!+#REF!+#REF!</f>
        <v>#REF!</v>
      </c>
      <c r="I25" s="29" t="e">
        <f>#REF!+#REF!+#REF!+#REF!+#REF!+#REF!+#REF!+#REF!+#REF!+#REF!+#REF!+#REF!+#REF!+#REF!+#REF!+#REF!+#REF!+#REF!+#REF!+#REF!+#REF!+#REF!+#REF!+#REF!+#REF!+#REF!+#REF!+#REF!+#REF!+#REF!+#REF!</f>
        <v>#REF!</v>
      </c>
      <c r="J25" s="15" t="e">
        <f t="shared" si="1"/>
        <v>#REF!</v>
      </c>
      <c r="K25" s="15">
        <v>-1585</v>
      </c>
      <c r="L25" s="15" t="e">
        <f t="shared" si="2"/>
        <v>#REF!</v>
      </c>
      <c r="M25" s="31"/>
      <c r="N25" s="71"/>
      <c r="O25" s="72"/>
      <c r="P25" s="72"/>
      <c r="Q25" s="73"/>
      <c r="R25" s="44"/>
      <c r="S25" s="13"/>
      <c r="T25" s="13"/>
      <c r="U25" s="13"/>
    </row>
    <row r="26" spans="1:21" ht="9" customHeight="1">
      <c r="A26" s="10">
        <v>21</v>
      </c>
      <c r="B26" s="133"/>
      <c r="C26" s="17" t="s">
        <v>21</v>
      </c>
      <c r="D26" s="15"/>
      <c r="E26" s="29" t="e">
        <f>#REF!+#REF!+#REF!+#REF!+#REF!+#REF!+#REF!+#REF!+#REF!+#REF!+#REF!+#REF!+#REF!+#REF!+#REF!+#REF!+#REF!+#REF!+#REF!+#REF!+#REF!+#REF!+#REF!+#REF!+#REF!+#REF!+#REF!+#REF!+#REF!+#REF!+#REF!</f>
        <v>#REF!</v>
      </c>
      <c r="F26" s="29" t="e">
        <f>#REF!+#REF!+#REF!+#REF!+#REF!+#REF!+#REF!+#REF!+#REF!+#REF!+#REF!+#REF!+#REF!+#REF!+#REF!+#REF!+#REF!+#REF!+#REF!+#REF!+#REF!+#REF!+#REF!+#REF!+#REF!+#REF!+#REF!+#REF!+#REF!+#REF!+#REF!</f>
        <v>#REF!</v>
      </c>
      <c r="G26" s="15" t="e">
        <f t="shared" si="0"/>
        <v>#REF!</v>
      </c>
      <c r="H26" s="29" t="e">
        <f>#REF!+#REF!+#REF!+#REF!+#REF!+#REF!+#REF!+#REF!+#REF!+#REF!+#REF!+#REF!+#REF!+#REF!+#REF!+#REF!+#REF!+#REF!+#REF!+#REF!+#REF!+#REF!+#REF!+#REF!+#REF!+#REF!+#REF!+#REF!+#REF!+#REF!+#REF!</f>
        <v>#REF!</v>
      </c>
      <c r="I26" s="29" t="e">
        <f>#REF!+#REF!+#REF!+#REF!+#REF!+#REF!+#REF!+#REF!+#REF!+#REF!+#REF!+#REF!+#REF!+#REF!+#REF!+#REF!+#REF!+#REF!+#REF!+#REF!+#REF!+#REF!+#REF!+#REF!+#REF!+#REF!+#REF!+#REF!+#REF!+#REF!+#REF!</f>
        <v>#REF!</v>
      </c>
      <c r="J26" s="15" t="e">
        <f t="shared" si="1"/>
        <v>#REF!</v>
      </c>
      <c r="K26" s="15">
        <v>-528</v>
      </c>
      <c r="L26" s="15" t="e">
        <f t="shared" si="2"/>
        <v>#REF!</v>
      </c>
      <c r="M26" s="31"/>
      <c r="N26" s="71"/>
      <c r="O26" s="72"/>
      <c r="P26" s="72"/>
      <c r="Q26" s="73"/>
      <c r="R26" s="44"/>
      <c r="S26" s="13"/>
      <c r="T26" s="13"/>
      <c r="U26" s="13"/>
    </row>
    <row r="27" spans="1:21" ht="9" customHeight="1">
      <c r="A27" s="10">
        <v>22</v>
      </c>
      <c r="B27" s="133"/>
      <c r="C27" s="17" t="s">
        <v>39</v>
      </c>
      <c r="D27" s="15"/>
      <c r="E27" s="29" t="e">
        <f>#REF!+#REF!+#REF!+#REF!+#REF!+#REF!+#REF!+#REF!+#REF!+#REF!+#REF!+#REF!+#REF!+#REF!+#REF!+#REF!+#REF!+#REF!+#REF!+#REF!+#REF!+#REF!+#REF!+#REF!+#REF!+#REF!+#REF!+#REF!+#REF!+#REF!+#REF!</f>
        <v>#REF!</v>
      </c>
      <c r="F27" s="29" t="e">
        <f>#REF!+#REF!+#REF!+#REF!+#REF!+#REF!+#REF!+#REF!+#REF!+#REF!+#REF!+#REF!+#REF!+#REF!+#REF!+#REF!+#REF!+#REF!+#REF!+#REF!+#REF!+#REF!+#REF!+#REF!+#REF!+#REF!+#REF!+#REF!+#REF!+#REF!+#REF!</f>
        <v>#REF!</v>
      </c>
      <c r="G27" s="15" t="e">
        <f t="shared" si="0"/>
        <v>#REF!</v>
      </c>
      <c r="H27" s="29" t="e">
        <f>#REF!+#REF!+#REF!+#REF!+#REF!+#REF!+#REF!+#REF!+#REF!+#REF!+#REF!+#REF!+#REF!+#REF!+#REF!+#REF!+#REF!+#REF!+#REF!+#REF!+#REF!+#REF!+#REF!+#REF!+#REF!+#REF!+#REF!+#REF!+#REF!+#REF!+#REF!</f>
        <v>#REF!</v>
      </c>
      <c r="I27" s="29" t="e">
        <f>#REF!+#REF!+#REF!+#REF!+#REF!+#REF!+#REF!+#REF!+#REF!+#REF!+#REF!+#REF!+#REF!+#REF!+#REF!+#REF!+#REF!+#REF!+#REF!+#REF!+#REF!+#REF!+#REF!+#REF!+#REF!+#REF!+#REF!+#REF!+#REF!+#REF!+#REF!</f>
        <v>#REF!</v>
      </c>
      <c r="J27" s="15" t="e">
        <f t="shared" si="1"/>
        <v>#REF!</v>
      </c>
      <c r="K27" s="15">
        <v>-1685</v>
      </c>
      <c r="L27" s="15" t="e">
        <f t="shared" si="2"/>
        <v>#REF!</v>
      </c>
      <c r="M27" s="31"/>
      <c r="N27" s="71"/>
      <c r="O27" s="72"/>
      <c r="P27" s="72"/>
      <c r="Q27" s="73"/>
      <c r="R27" s="44"/>
      <c r="S27" s="13"/>
      <c r="T27" s="13"/>
      <c r="U27" s="13"/>
    </row>
    <row r="28" spans="1:21" ht="9" customHeight="1">
      <c r="A28" s="10">
        <v>23</v>
      </c>
      <c r="B28" s="133"/>
      <c r="C28" s="17" t="s">
        <v>16</v>
      </c>
      <c r="D28" s="15"/>
      <c r="E28" s="29" t="e">
        <f>#REF!+#REF!+#REF!+#REF!+#REF!+#REF!+#REF!+#REF!+#REF!+#REF!+#REF!+#REF!+#REF!+#REF!+#REF!+#REF!+#REF!+#REF!+#REF!+#REF!+#REF!+#REF!+#REF!+#REF!+#REF!+#REF!+#REF!+#REF!+#REF!+#REF!+#REF!</f>
        <v>#REF!</v>
      </c>
      <c r="F28" s="29" t="e">
        <f>#REF!+#REF!+#REF!+#REF!+#REF!+#REF!+#REF!+#REF!+#REF!+#REF!+#REF!+#REF!+#REF!+#REF!+#REF!+#REF!+#REF!+#REF!+#REF!+#REF!+#REF!+#REF!+#REF!+#REF!+#REF!+#REF!+#REF!+#REF!+#REF!+#REF!+#REF!</f>
        <v>#REF!</v>
      </c>
      <c r="G28" s="15" t="e">
        <f t="shared" si="0"/>
        <v>#REF!</v>
      </c>
      <c r="H28" s="29" t="e">
        <f>#REF!+#REF!+#REF!+#REF!+#REF!+#REF!+#REF!+#REF!+#REF!+#REF!+#REF!+#REF!+#REF!+#REF!+#REF!+#REF!+#REF!+#REF!+#REF!+#REF!+#REF!+#REF!+#REF!+#REF!+#REF!+#REF!+#REF!+#REF!+#REF!+#REF!+#REF!</f>
        <v>#REF!</v>
      </c>
      <c r="I28" s="29" t="e">
        <f>#REF!+#REF!+#REF!+#REF!+#REF!+#REF!+#REF!+#REF!+#REF!+#REF!+#REF!+#REF!+#REF!+#REF!+#REF!+#REF!+#REF!+#REF!+#REF!+#REF!+#REF!+#REF!+#REF!+#REF!+#REF!+#REF!+#REF!+#REF!+#REF!+#REF!+#REF!</f>
        <v>#REF!</v>
      </c>
      <c r="J28" s="15" t="e">
        <f t="shared" si="1"/>
        <v>#REF!</v>
      </c>
      <c r="K28" s="15">
        <v>1800</v>
      </c>
      <c r="L28" s="15" t="e">
        <f t="shared" si="2"/>
        <v>#REF!</v>
      </c>
      <c r="M28" s="31"/>
      <c r="N28" s="71"/>
      <c r="O28" s="72"/>
      <c r="P28" s="72"/>
      <c r="Q28" s="73"/>
      <c r="R28" s="44"/>
      <c r="S28" s="13"/>
      <c r="T28" s="13"/>
      <c r="U28" s="13"/>
    </row>
    <row r="29" spans="1:21" ht="9" customHeight="1">
      <c r="A29" s="10">
        <v>24</v>
      </c>
      <c r="B29" s="133"/>
      <c r="C29" s="17" t="s">
        <v>89</v>
      </c>
      <c r="D29" s="15"/>
      <c r="E29" s="29" t="e">
        <f>#REF!+#REF!+#REF!+#REF!+#REF!+#REF!+#REF!+#REF!+#REF!+#REF!+#REF!+#REF!+#REF!+#REF!+#REF!+#REF!+#REF!+#REF!+#REF!+#REF!+#REF!+#REF!+#REF!+#REF!+#REF!+#REF!+#REF!+#REF!+#REF!+#REF!+#REF!</f>
        <v>#REF!</v>
      </c>
      <c r="F29" s="29" t="e">
        <f>#REF!+#REF!+#REF!+#REF!+#REF!+#REF!+#REF!+#REF!+#REF!+#REF!+#REF!+#REF!+#REF!+#REF!+#REF!+#REF!+#REF!+#REF!+#REF!+#REF!+#REF!+#REF!+#REF!+#REF!+#REF!+#REF!+#REF!+#REF!+#REF!+#REF!+#REF!</f>
        <v>#REF!</v>
      </c>
      <c r="G29" s="15" t="e">
        <f t="shared" si="0"/>
        <v>#REF!</v>
      </c>
      <c r="H29" s="29" t="e">
        <f>#REF!+#REF!+#REF!+#REF!+#REF!+#REF!+#REF!+#REF!+#REF!+#REF!+#REF!+#REF!+#REF!+#REF!+#REF!+#REF!+#REF!+#REF!+#REF!+#REF!+#REF!+#REF!+#REF!+#REF!+#REF!+#REF!+#REF!+#REF!+#REF!+#REF!+#REF!</f>
        <v>#REF!</v>
      </c>
      <c r="I29" s="29" t="e">
        <f>#REF!+#REF!+#REF!+#REF!+#REF!+#REF!+#REF!+#REF!+#REF!+#REF!+#REF!+#REF!+#REF!+#REF!+#REF!+#REF!+#REF!+#REF!+#REF!+#REF!+#REF!+#REF!+#REF!+#REF!+#REF!+#REF!+#REF!+#REF!+#REF!+#REF!+#REF!</f>
        <v>#REF!</v>
      </c>
      <c r="J29" s="15" t="e">
        <f t="shared" si="1"/>
        <v>#REF!</v>
      </c>
      <c r="K29" s="15">
        <f>-7500+32+103+102+102+103+9+84+32+20+3+50+100+72+62+40+13+153+13+30</f>
        <v>-6377</v>
      </c>
      <c r="L29" s="15" t="e">
        <f t="shared" si="2"/>
        <v>#REF!</v>
      </c>
      <c r="M29" s="30"/>
      <c r="N29" s="71"/>
      <c r="O29" s="72"/>
      <c r="P29" s="72"/>
      <c r="Q29" s="73"/>
      <c r="R29" s="44"/>
      <c r="S29" s="13"/>
      <c r="T29" s="13"/>
      <c r="U29" s="13"/>
    </row>
    <row r="30" spans="1:21" ht="9" customHeight="1">
      <c r="A30" s="10">
        <v>25</v>
      </c>
      <c r="B30" s="133"/>
      <c r="C30" s="17" t="s">
        <v>38</v>
      </c>
      <c r="D30" s="15"/>
      <c r="E30" s="29" t="e">
        <f>#REF!+#REF!+#REF!+#REF!+#REF!+#REF!+#REF!+#REF!+#REF!+#REF!+#REF!+#REF!+#REF!+#REF!+#REF!+#REF!+#REF!+#REF!+#REF!+#REF!+#REF!+#REF!+#REF!+#REF!+#REF!+#REF!+#REF!+#REF!+#REF!+#REF!+#REF!</f>
        <v>#REF!</v>
      </c>
      <c r="F30" s="29" t="e">
        <f>#REF!+#REF!+#REF!+#REF!+#REF!+#REF!+#REF!+#REF!+#REF!+#REF!+#REF!+#REF!+#REF!+#REF!+#REF!+#REF!+#REF!+#REF!+#REF!+#REF!+#REF!+#REF!+#REF!+#REF!+#REF!+#REF!+#REF!+#REF!+#REF!+#REF!+#REF!</f>
        <v>#REF!</v>
      </c>
      <c r="G30" s="15" t="e">
        <f t="shared" si="0"/>
        <v>#REF!</v>
      </c>
      <c r="H30" s="29" t="e">
        <f>#REF!+#REF!+#REF!+#REF!+#REF!+#REF!+#REF!+#REF!+#REF!+#REF!+#REF!+#REF!+#REF!+#REF!+#REF!+#REF!+#REF!+#REF!+#REF!+#REF!+#REF!+#REF!+#REF!+#REF!+#REF!+#REF!+#REF!+#REF!+#REF!+#REF!+#REF!</f>
        <v>#REF!</v>
      </c>
      <c r="I30" s="29" t="e">
        <f>#REF!+#REF!+#REF!+#REF!+#REF!+#REF!+#REF!+#REF!+#REF!+#REF!+#REF!+#REF!+#REF!+#REF!+#REF!+#REF!+#REF!+#REF!+#REF!+#REF!+#REF!+#REF!+#REF!+#REF!+#REF!+#REF!+#REF!+#REF!+#REF!+#REF!+#REF!</f>
        <v>#REF!</v>
      </c>
      <c r="J30" s="15" t="e">
        <f t="shared" si="1"/>
        <v>#REF!</v>
      </c>
      <c r="K30" s="15">
        <v>0</v>
      </c>
      <c r="L30" s="15" t="e">
        <f t="shared" si="2"/>
        <v>#REF!</v>
      </c>
      <c r="M30" s="31"/>
      <c r="N30" s="71"/>
      <c r="O30" s="72"/>
      <c r="P30" s="72"/>
      <c r="Q30" s="73"/>
      <c r="R30" s="44"/>
      <c r="S30" s="13"/>
      <c r="T30" s="13"/>
      <c r="U30" s="13"/>
    </row>
    <row r="31" spans="1:21" ht="9" customHeight="1">
      <c r="A31" s="10">
        <v>26</v>
      </c>
      <c r="B31" s="133"/>
      <c r="C31" s="17" t="s">
        <v>79</v>
      </c>
      <c r="D31" s="15"/>
      <c r="E31" s="29" t="e">
        <f>#REF!+#REF!+#REF!+#REF!+#REF!+#REF!+#REF!+#REF!+#REF!+#REF!+#REF!+#REF!+#REF!+#REF!+#REF!+#REF!+#REF!+#REF!+#REF!+#REF!+#REF!+#REF!+#REF!+#REF!+#REF!+#REF!+#REF!+#REF!+#REF!+#REF!+#REF!</f>
        <v>#REF!</v>
      </c>
      <c r="F31" s="29" t="e">
        <f>#REF!+#REF!+#REF!+#REF!+#REF!+#REF!+#REF!+#REF!+#REF!+#REF!+#REF!+#REF!+#REF!+#REF!+#REF!+#REF!+#REF!+#REF!+#REF!+#REF!+#REF!+#REF!+#REF!+#REF!+#REF!+#REF!+#REF!+#REF!+#REF!+#REF!+#REF!</f>
        <v>#REF!</v>
      </c>
      <c r="G31" s="15" t="e">
        <f t="shared" si="0"/>
        <v>#REF!</v>
      </c>
      <c r="H31" s="29" t="e">
        <f>#REF!+#REF!+#REF!+#REF!+#REF!+#REF!+#REF!+#REF!+#REF!+#REF!+#REF!+#REF!+#REF!+#REF!+#REF!+#REF!+#REF!+#REF!+#REF!+#REF!+#REF!+#REF!+#REF!+#REF!+#REF!+#REF!+#REF!+#REF!+#REF!+#REF!+#REF!</f>
        <v>#REF!</v>
      </c>
      <c r="I31" s="29" t="e">
        <f>#REF!+#REF!+#REF!+#REF!+#REF!+#REF!+#REF!+#REF!+#REF!+#REF!+#REF!+#REF!+#REF!+#REF!+#REF!+#REF!+#REF!+#REF!+#REF!+#REF!+#REF!+#REF!+#REF!+#REF!+#REF!+#REF!+#REF!+#REF!+#REF!+#REF!+#REF!</f>
        <v>#REF!</v>
      </c>
      <c r="J31" s="15" t="e">
        <f t="shared" si="1"/>
        <v>#REF!</v>
      </c>
      <c r="K31" s="15">
        <v>-3000</v>
      </c>
      <c r="L31" s="15" t="e">
        <f t="shared" si="2"/>
        <v>#REF!</v>
      </c>
      <c r="M31" s="30"/>
      <c r="N31" s="71"/>
      <c r="O31" s="72"/>
      <c r="P31" s="72"/>
      <c r="Q31" s="73"/>
      <c r="R31" s="44"/>
      <c r="S31" s="13"/>
      <c r="T31" s="13"/>
      <c r="U31" s="13"/>
    </row>
    <row r="32" spans="1:21" ht="9" customHeight="1">
      <c r="A32" s="10">
        <v>27</v>
      </c>
      <c r="B32" s="133"/>
      <c r="C32" s="17" t="s">
        <v>74</v>
      </c>
      <c r="D32" s="15"/>
      <c r="E32" s="29" t="e">
        <f>#REF!+#REF!+#REF!+#REF!+#REF!+#REF!+#REF!+#REF!+#REF!+#REF!+#REF!+#REF!+#REF!+#REF!+#REF!+#REF!+#REF!+#REF!+#REF!+#REF!+#REF!+#REF!+#REF!+#REF!+#REF!+#REF!+#REF!+#REF!+#REF!+#REF!+#REF!</f>
        <v>#REF!</v>
      </c>
      <c r="F32" s="29" t="e">
        <f>#REF!+#REF!+#REF!+#REF!+#REF!+#REF!+#REF!+#REF!+#REF!+#REF!+#REF!+#REF!+#REF!+#REF!+#REF!+#REF!+#REF!+#REF!+#REF!+#REF!+#REF!+#REF!+#REF!+#REF!+#REF!+#REF!+#REF!+#REF!+#REF!+#REF!+#REF!</f>
        <v>#REF!</v>
      </c>
      <c r="G32" s="15" t="e">
        <f t="shared" si="0"/>
        <v>#REF!</v>
      </c>
      <c r="H32" s="29" t="e">
        <f>#REF!+#REF!+#REF!+#REF!+#REF!+#REF!+#REF!+#REF!+#REF!+#REF!+#REF!+#REF!+#REF!+#REF!+#REF!+#REF!+#REF!+#REF!+#REF!+#REF!+#REF!+#REF!+#REF!+#REF!+#REF!+#REF!+#REF!+#REF!+#REF!+#REF!+#REF!</f>
        <v>#REF!</v>
      </c>
      <c r="I32" s="29" t="e">
        <f>#REF!+#REF!+#REF!+#REF!+#REF!+#REF!+#REF!+#REF!+#REF!+#REF!+#REF!+#REF!+#REF!+#REF!+#REF!+#REF!+#REF!+#REF!+#REF!+#REF!+#REF!+#REF!+#REF!+#REF!+#REF!+#REF!+#REF!+#REF!+#REF!+#REF!+#REF!</f>
        <v>#REF!</v>
      </c>
      <c r="J32" s="15" t="e">
        <f t="shared" si="1"/>
        <v>#REF!</v>
      </c>
      <c r="K32" s="15">
        <v>-1190</v>
      </c>
      <c r="L32" s="15" t="e">
        <f t="shared" si="2"/>
        <v>#REF!</v>
      </c>
      <c r="M32" s="31"/>
      <c r="N32" s="71"/>
      <c r="O32" s="72"/>
      <c r="P32" s="72"/>
      <c r="Q32" s="73"/>
      <c r="R32" s="44"/>
      <c r="S32" s="13"/>
      <c r="T32" s="13"/>
      <c r="U32" s="13"/>
    </row>
    <row r="33" spans="1:21" ht="9" customHeight="1">
      <c r="A33" s="10">
        <v>28</v>
      </c>
      <c r="B33" s="133"/>
      <c r="C33" s="17" t="s">
        <v>10</v>
      </c>
      <c r="D33" s="15"/>
      <c r="E33" s="29" t="e">
        <f>#REF!+#REF!+#REF!+#REF!+#REF!+#REF!+#REF!+#REF!+#REF!+#REF!+#REF!+#REF!+#REF!+#REF!+#REF!+#REF!+#REF!+#REF!+#REF!+#REF!+#REF!+#REF!+#REF!+#REF!+#REF!+#REF!+#REF!+#REF!+#REF!+#REF!+#REF!</f>
        <v>#REF!</v>
      </c>
      <c r="F33" s="29" t="e">
        <f>#REF!+#REF!+#REF!+#REF!+#REF!+#REF!+#REF!+#REF!+#REF!+#REF!+#REF!+#REF!+#REF!+#REF!+#REF!+#REF!+#REF!+#REF!+#REF!+#REF!+#REF!+#REF!+#REF!+#REF!+#REF!+#REF!+#REF!+#REF!+#REF!+#REF!+#REF!</f>
        <v>#REF!</v>
      </c>
      <c r="G33" s="15" t="e">
        <f t="shared" si="0"/>
        <v>#REF!</v>
      </c>
      <c r="H33" s="29" t="e">
        <f>#REF!+#REF!+#REF!+#REF!+#REF!+#REF!+#REF!+#REF!+#REF!+#REF!+#REF!+#REF!+#REF!+#REF!+#REF!+#REF!+#REF!+#REF!+#REF!+#REF!+#REF!+#REF!+#REF!+#REF!+#REF!+#REF!+#REF!+#REF!+#REF!+#REF!+#REF!</f>
        <v>#REF!</v>
      </c>
      <c r="I33" s="29" t="e">
        <f>#REF!+#REF!+#REF!+#REF!+#REF!+#REF!+#REF!+#REF!+#REF!+#REF!+#REF!+#REF!+#REF!+#REF!+#REF!+#REF!+#REF!+#REF!+#REF!+#REF!+#REF!+#REF!+#REF!+#REF!+#REF!+#REF!+#REF!+#REF!+#REF!+#REF!+#REF!</f>
        <v>#REF!</v>
      </c>
      <c r="J33" s="15" t="e">
        <f t="shared" si="1"/>
        <v>#REF!</v>
      </c>
      <c r="K33" s="15">
        <v>-1000</v>
      </c>
      <c r="L33" s="15" t="e">
        <f t="shared" si="2"/>
        <v>#REF!</v>
      </c>
      <c r="M33" s="30"/>
      <c r="N33" s="71"/>
      <c r="O33" s="72"/>
      <c r="P33" s="72"/>
      <c r="Q33" s="73"/>
      <c r="R33" s="44"/>
      <c r="S33" s="13"/>
      <c r="T33" s="13"/>
      <c r="U33" s="13"/>
    </row>
    <row r="34" spans="1:21" ht="9" customHeight="1">
      <c r="A34" s="10">
        <v>29</v>
      </c>
      <c r="B34" s="132" t="s">
        <v>29</v>
      </c>
      <c r="C34" s="17" t="s">
        <v>40</v>
      </c>
      <c r="D34" s="15"/>
      <c r="E34" s="29" t="e">
        <f>#REF!+#REF!+#REF!+#REF!+#REF!+#REF!+#REF!+#REF!+#REF!+#REF!+#REF!+#REF!+#REF!+#REF!+#REF!+#REF!+#REF!+#REF!+#REF!+#REF!+#REF!+#REF!+#REF!+#REF!+#REF!+#REF!+#REF!+#REF!+#REF!+#REF!+#REF!</f>
        <v>#REF!</v>
      </c>
      <c r="F34" s="29" t="e">
        <f>#REF!+#REF!+#REF!+#REF!+#REF!+#REF!+#REF!+#REF!+#REF!+#REF!+#REF!+#REF!+#REF!+#REF!+#REF!+#REF!+#REF!+#REF!+#REF!+#REF!+#REF!+#REF!+#REF!+#REF!+#REF!+#REF!+#REF!+#REF!+#REF!+#REF!+#REF!</f>
        <v>#REF!</v>
      </c>
      <c r="G34" s="15" t="e">
        <f t="shared" si="0"/>
        <v>#REF!</v>
      </c>
      <c r="H34" s="29" t="e">
        <f>#REF!+#REF!+#REF!+#REF!+#REF!+#REF!+#REF!+#REF!+#REF!+#REF!+#REF!+#REF!+#REF!+#REF!+#REF!+#REF!+#REF!+#REF!+#REF!+#REF!+#REF!+#REF!+#REF!+#REF!+#REF!+#REF!+#REF!+#REF!+#REF!+#REF!+#REF!</f>
        <v>#REF!</v>
      </c>
      <c r="I34" s="29" t="e">
        <f>#REF!+#REF!+#REF!+#REF!+#REF!+#REF!+#REF!+#REF!+#REF!+#REF!+#REF!+#REF!+#REF!+#REF!+#REF!+#REF!+#REF!+#REF!+#REF!+#REF!+#REF!+#REF!+#REF!+#REF!+#REF!+#REF!+#REF!+#REF!+#REF!+#REF!+#REF!</f>
        <v>#REF!</v>
      </c>
      <c r="J34" s="15" t="e">
        <f t="shared" si="1"/>
        <v>#REF!</v>
      </c>
      <c r="K34" s="15">
        <v>-2</v>
      </c>
      <c r="L34" s="15" t="e">
        <f t="shared" si="2"/>
        <v>#REF!</v>
      </c>
      <c r="M34" s="31"/>
      <c r="N34" s="71"/>
      <c r="O34" s="72"/>
      <c r="P34" s="72"/>
      <c r="Q34" s="73"/>
      <c r="R34" s="44"/>
      <c r="S34" s="13"/>
      <c r="T34" s="13"/>
      <c r="U34" s="13"/>
    </row>
    <row r="35" spans="1:21" ht="9" customHeight="1">
      <c r="A35" s="10">
        <v>30</v>
      </c>
      <c r="B35" s="133"/>
      <c r="C35" s="17" t="s">
        <v>87</v>
      </c>
      <c r="D35" s="15"/>
      <c r="E35" s="29" t="e">
        <f>#REF!+#REF!+#REF!+#REF!+#REF!+#REF!+#REF!+#REF!+#REF!+#REF!+#REF!+#REF!+#REF!+#REF!+#REF!+#REF!+#REF!+#REF!+#REF!+#REF!+#REF!+#REF!+#REF!+#REF!+#REF!+#REF!+#REF!+#REF!+#REF!+#REF!+#REF!</f>
        <v>#REF!</v>
      </c>
      <c r="F35" s="29" t="e">
        <f>#REF!+#REF!+#REF!+#REF!+#REF!+#REF!+#REF!+#REF!+#REF!+#REF!+#REF!+#REF!+#REF!+#REF!+#REF!+#REF!+#REF!+#REF!+#REF!+#REF!+#REF!+#REF!+#REF!+#REF!+#REF!+#REF!+#REF!+#REF!+#REF!+#REF!+#REF!</f>
        <v>#REF!</v>
      </c>
      <c r="G35" s="15" t="e">
        <f t="shared" si="0"/>
        <v>#REF!</v>
      </c>
      <c r="H35" s="29" t="e">
        <f>#REF!+#REF!+#REF!+#REF!+#REF!+#REF!+#REF!+#REF!+#REF!+#REF!+#REF!+#REF!+#REF!+#REF!+#REF!+#REF!+#REF!+#REF!+#REF!+#REF!+#REF!+#REF!+#REF!+#REF!+#REF!+#REF!+#REF!+#REF!+#REF!+#REF!+#REF!</f>
        <v>#REF!</v>
      </c>
      <c r="I35" s="29" t="e">
        <f>#REF!+#REF!+#REF!+#REF!+#REF!+#REF!+#REF!+#REF!+#REF!+#REF!+#REF!+#REF!+#REF!+#REF!+#REF!+#REF!+#REF!+#REF!+#REF!+#REF!+#REF!+#REF!+#REF!+#REF!+#REF!+#REF!+#REF!+#REF!+#REF!+#REF!+#REF!</f>
        <v>#REF!</v>
      </c>
      <c r="J35" s="15" t="e">
        <f>G35-H35-I35</f>
        <v>#REF!</v>
      </c>
      <c r="K35" s="52">
        <v>-318</v>
      </c>
      <c r="L35" s="52" t="e">
        <f t="shared" si="2"/>
        <v>#REF!</v>
      </c>
      <c r="M35" s="31"/>
      <c r="N35" s="71"/>
      <c r="O35" s="72"/>
      <c r="P35" s="72"/>
      <c r="Q35" s="73"/>
      <c r="R35" s="44"/>
      <c r="S35" s="13"/>
      <c r="T35" s="13"/>
      <c r="U35" s="13"/>
    </row>
    <row r="36" spans="1:21" ht="9" customHeight="1">
      <c r="A36" s="10">
        <v>31</v>
      </c>
      <c r="B36" s="133"/>
      <c r="C36" s="17" t="s">
        <v>41</v>
      </c>
      <c r="D36" s="15"/>
      <c r="E36" s="29" t="e">
        <f>#REF!+#REF!+#REF!+#REF!+#REF!+#REF!+#REF!+#REF!+#REF!+#REF!+#REF!+#REF!+#REF!+#REF!+#REF!+#REF!+#REF!+#REF!+#REF!+#REF!+#REF!+#REF!+#REF!+#REF!+#REF!+#REF!+#REF!+#REF!+#REF!+#REF!+#REF!</f>
        <v>#REF!</v>
      </c>
      <c r="F36" s="29" t="e">
        <f>#REF!+#REF!+#REF!+#REF!+#REF!+#REF!+#REF!+#REF!+#REF!+#REF!+#REF!+#REF!+#REF!+#REF!+#REF!+#REF!+#REF!+#REF!+#REF!+#REF!+#REF!+#REF!+#REF!+#REF!+#REF!+#REF!+#REF!+#REF!+#REF!+#REF!+#REF!</f>
        <v>#REF!</v>
      </c>
      <c r="G36" s="15" t="e">
        <f t="shared" si="0"/>
        <v>#REF!</v>
      </c>
      <c r="H36" s="29" t="e">
        <f>#REF!+#REF!+#REF!+#REF!+#REF!+#REF!+#REF!+#REF!+#REF!+#REF!+#REF!+#REF!+#REF!+#REF!+#REF!+#REF!+#REF!+#REF!+#REF!+#REF!+#REF!+#REF!+#REF!+#REF!+#REF!+#REF!+#REF!+#REF!+#REF!+#REF!+#REF!</f>
        <v>#REF!</v>
      </c>
      <c r="I36" s="29" t="e">
        <f>#REF!+#REF!+#REF!+#REF!+#REF!+#REF!+#REF!+#REF!+#REF!+#REF!+#REF!+#REF!+#REF!+#REF!+#REF!+#REF!+#REF!+#REF!+#REF!+#REF!+#REF!+#REF!+#REF!+#REF!+#REF!+#REF!+#REF!+#REF!+#REF!+#REF!+#REF!</f>
        <v>#REF!</v>
      </c>
      <c r="J36" s="15" t="e">
        <f t="shared" si="1"/>
        <v>#REF!</v>
      </c>
      <c r="K36" s="15">
        <v>166</v>
      </c>
      <c r="L36" s="52" t="e">
        <f t="shared" si="2"/>
        <v>#REF!</v>
      </c>
      <c r="M36" s="31"/>
      <c r="N36" s="71"/>
      <c r="O36" s="72"/>
      <c r="P36" s="72"/>
      <c r="Q36" s="73"/>
      <c r="R36" s="44"/>
      <c r="S36" s="13"/>
      <c r="T36" s="13"/>
      <c r="U36" s="13"/>
    </row>
    <row r="37" spans="1:21" ht="9" customHeight="1">
      <c r="A37" s="10">
        <v>32</v>
      </c>
      <c r="B37" s="133"/>
      <c r="C37" s="17" t="s">
        <v>42</v>
      </c>
      <c r="D37" s="15"/>
      <c r="E37" s="29" t="e">
        <f>#REF!+#REF!+#REF!+#REF!+#REF!+#REF!+#REF!+#REF!+#REF!+#REF!+#REF!+#REF!+#REF!+#REF!+#REF!+#REF!+#REF!+#REF!+#REF!+#REF!+#REF!+#REF!+#REF!+#REF!+#REF!+#REF!+#REF!+#REF!+#REF!+#REF!+#REF!</f>
        <v>#REF!</v>
      </c>
      <c r="F37" s="29" t="e">
        <f>#REF!+#REF!+#REF!+#REF!+#REF!+#REF!+#REF!+#REF!+#REF!+#REF!+#REF!+#REF!+#REF!+#REF!+#REF!+#REF!+#REF!+#REF!+#REF!+#REF!+#REF!+#REF!+#REF!+#REF!+#REF!+#REF!+#REF!+#REF!+#REF!+#REF!+#REF!</f>
        <v>#REF!</v>
      </c>
      <c r="G37" s="15" t="e">
        <f t="shared" si="0"/>
        <v>#REF!</v>
      </c>
      <c r="H37" s="29" t="e">
        <f>#REF!+#REF!+#REF!+#REF!+#REF!+#REF!+#REF!+#REF!+#REF!+#REF!+#REF!+#REF!+#REF!+#REF!+#REF!+#REF!+#REF!+#REF!+#REF!+#REF!+#REF!+#REF!+#REF!+#REF!+#REF!+#REF!+#REF!+#REF!+#REF!+#REF!+#REF!</f>
        <v>#REF!</v>
      </c>
      <c r="I37" s="29" t="e">
        <f>#REF!+#REF!+#REF!+#REF!+#REF!+#REF!+#REF!+#REF!+#REF!+#REF!+#REF!+#REF!+#REF!+#REF!+#REF!+#REF!+#REF!+#REF!+#REF!+#REF!+#REF!+#REF!+#REF!+#REF!+#REF!+#REF!+#REF!+#REF!+#REF!+#REF!+#REF!</f>
        <v>#REF!</v>
      </c>
      <c r="J37" s="15" t="e">
        <f t="shared" si="1"/>
        <v>#REF!</v>
      </c>
      <c r="K37" s="15">
        <v>-400</v>
      </c>
      <c r="L37" s="15" t="e">
        <f t="shared" si="2"/>
        <v>#REF!</v>
      </c>
      <c r="M37" s="31"/>
      <c r="N37" s="71"/>
      <c r="O37" s="72"/>
      <c r="P37" s="72"/>
      <c r="Q37" s="73"/>
      <c r="R37" s="44"/>
      <c r="S37" s="13"/>
      <c r="T37" s="13"/>
      <c r="U37" s="13"/>
    </row>
    <row r="38" spans="1:21" ht="9" customHeight="1">
      <c r="A38" s="10">
        <v>33</v>
      </c>
      <c r="B38" s="133"/>
      <c r="C38" s="17" t="s">
        <v>43</v>
      </c>
      <c r="D38" s="15"/>
      <c r="E38" s="29" t="e">
        <f>#REF!+#REF!+#REF!+#REF!+#REF!+#REF!+#REF!+#REF!+#REF!+#REF!+#REF!+#REF!+#REF!+#REF!+#REF!+#REF!+#REF!+#REF!+#REF!+#REF!+#REF!+#REF!+#REF!+#REF!+#REF!+#REF!+#REF!+#REF!+#REF!+#REF!+#REF!</f>
        <v>#REF!</v>
      </c>
      <c r="F38" s="29" t="e">
        <f>#REF!+#REF!+#REF!+#REF!+#REF!+#REF!+#REF!+#REF!+#REF!+#REF!+#REF!+#REF!+#REF!+#REF!+#REF!+#REF!+#REF!+#REF!+#REF!+#REF!+#REF!+#REF!+#REF!+#REF!+#REF!+#REF!+#REF!+#REF!+#REF!+#REF!+#REF!</f>
        <v>#REF!</v>
      </c>
      <c r="G38" s="15" t="e">
        <f t="shared" si="0"/>
        <v>#REF!</v>
      </c>
      <c r="H38" s="29" t="e">
        <f>#REF!+#REF!+#REF!+#REF!+#REF!+#REF!+#REF!+#REF!+#REF!+#REF!+#REF!+#REF!+#REF!+#REF!+#REF!+#REF!+#REF!+#REF!+#REF!+#REF!+#REF!+#REF!+#REF!+#REF!+#REF!+#REF!+#REF!+#REF!+#REF!+#REF!+#REF!</f>
        <v>#REF!</v>
      </c>
      <c r="I38" s="29" t="e">
        <f>#REF!+#REF!+#REF!+#REF!+#REF!+#REF!+#REF!+#REF!+#REF!+#REF!+#REF!+#REF!+#REF!+#REF!+#REF!+#REF!+#REF!+#REF!+#REF!+#REF!+#REF!+#REF!+#REF!+#REF!+#REF!+#REF!+#REF!+#REF!+#REF!+#REF!+#REF!</f>
        <v>#REF!</v>
      </c>
      <c r="J38" s="15" t="e">
        <f t="shared" si="1"/>
        <v>#REF!</v>
      </c>
      <c r="K38" s="52">
        <v>-176</v>
      </c>
      <c r="L38" s="52" t="e">
        <f t="shared" si="2"/>
        <v>#REF!</v>
      </c>
      <c r="M38" s="30"/>
      <c r="N38" s="71"/>
      <c r="O38" s="72"/>
      <c r="P38" s="72"/>
      <c r="Q38" s="73"/>
      <c r="R38" s="44"/>
      <c r="S38" s="13"/>
      <c r="T38" s="13"/>
      <c r="U38" s="13"/>
    </row>
    <row r="39" spans="1:21" ht="9" customHeight="1">
      <c r="A39" s="10">
        <v>34</v>
      </c>
      <c r="B39" s="133"/>
      <c r="C39" s="17" t="s">
        <v>44</v>
      </c>
      <c r="D39" s="15"/>
      <c r="E39" s="29" t="e">
        <f>#REF!+#REF!+#REF!+#REF!+#REF!+#REF!+#REF!+#REF!+#REF!+#REF!+#REF!+#REF!+#REF!+#REF!+#REF!+#REF!+#REF!+#REF!+#REF!+#REF!+#REF!+#REF!+#REF!+#REF!+#REF!+#REF!+#REF!+#REF!+#REF!+#REF!+#REF!</f>
        <v>#REF!</v>
      </c>
      <c r="F39" s="29" t="e">
        <f>#REF!+#REF!+#REF!+#REF!+#REF!+#REF!+#REF!+#REF!+#REF!+#REF!+#REF!+#REF!+#REF!+#REF!+#REF!+#REF!+#REF!+#REF!+#REF!+#REF!+#REF!+#REF!+#REF!+#REF!+#REF!+#REF!+#REF!+#REF!+#REF!+#REF!+#REF!</f>
        <v>#REF!</v>
      </c>
      <c r="G39" s="15" t="e">
        <f t="shared" si="0"/>
        <v>#REF!</v>
      </c>
      <c r="H39" s="29" t="e">
        <f>#REF!+#REF!+#REF!+#REF!+#REF!+#REF!+#REF!+#REF!+#REF!+#REF!+#REF!+#REF!+#REF!+#REF!+#REF!+#REF!+#REF!+#REF!+#REF!+#REF!+#REF!+#REF!+#REF!+#REF!+#REF!+#REF!+#REF!+#REF!+#REF!+#REF!+#REF!</f>
        <v>#REF!</v>
      </c>
      <c r="I39" s="29" t="e">
        <f>#REF!+#REF!+#REF!+#REF!+#REF!+#REF!+#REF!+#REF!+#REF!+#REF!+#REF!+#REF!+#REF!+#REF!+#REF!+#REF!+#REF!+#REF!+#REF!+#REF!+#REF!+#REF!+#REF!+#REF!+#REF!+#REF!+#REF!+#REF!+#REF!+#REF!+#REF!</f>
        <v>#REF!</v>
      </c>
      <c r="J39" s="15" t="e">
        <f t="shared" si="1"/>
        <v>#REF!</v>
      </c>
      <c r="K39" s="15">
        <v>85</v>
      </c>
      <c r="L39" s="52" t="e">
        <f t="shared" si="2"/>
        <v>#REF!</v>
      </c>
      <c r="M39" s="31"/>
      <c r="N39" s="71"/>
      <c r="O39" s="72"/>
      <c r="P39" s="72"/>
      <c r="Q39" s="73"/>
      <c r="R39" s="44"/>
      <c r="S39" s="13"/>
      <c r="T39" s="13"/>
      <c r="U39" s="13"/>
    </row>
    <row r="40" spans="1:21" ht="9" customHeight="1">
      <c r="A40" s="10">
        <v>35</v>
      </c>
      <c r="B40" s="133"/>
      <c r="C40" s="17" t="s">
        <v>45</v>
      </c>
      <c r="D40" s="15"/>
      <c r="E40" s="29" t="e">
        <f>#REF!+#REF!+#REF!+#REF!+#REF!+#REF!+#REF!+#REF!+#REF!+#REF!+#REF!+#REF!+#REF!+#REF!+#REF!+#REF!+#REF!+#REF!+#REF!+#REF!+#REF!+#REF!+#REF!+#REF!+#REF!+#REF!+#REF!+#REF!+#REF!+#REF!+#REF!</f>
        <v>#REF!</v>
      </c>
      <c r="F40" s="29" t="e">
        <f>#REF!+#REF!+#REF!+#REF!+#REF!+#REF!+#REF!+#REF!+#REF!+#REF!+#REF!+#REF!+#REF!+#REF!+#REF!+#REF!+#REF!+#REF!+#REF!+#REF!+#REF!+#REF!+#REF!+#REF!+#REF!+#REF!+#REF!+#REF!+#REF!+#REF!+#REF!</f>
        <v>#REF!</v>
      </c>
      <c r="G40" s="15" t="e">
        <f t="shared" si="0"/>
        <v>#REF!</v>
      </c>
      <c r="H40" s="29" t="e">
        <f>#REF!+#REF!+#REF!+#REF!+#REF!+#REF!+#REF!+#REF!+#REF!+#REF!+#REF!+#REF!+#REF!+#REF!+#REF!+#REF!+#REF!+#REF!+#REF!+#REF!+#REF!+#REF!+#REF!+#REF!+#REF!+#REF!+#REF!+#REF!+#REF!+#REF!+#REF!</f>
        <v>#REF!</v>
      </c>
      <c r="I40" s="29" t="e">
        <f>#REF!+#REF!+#REF!+#REF!+#REF!+#REF!+#REF!+#REF!+#REF!+#REF!+#REF!+#REF!+#REF!+#REF!+#REF!+#REF!+#REF!+#REF!+#REF!+#REF!+#REF!+#REF!+#REF!+#REF!+#REF!+#REF!+#REF!+#REF!+#REF!+#REF!+#REF!</f>
        <v>#REF!</v>
      </c>
      <c r="J40" s="15" t="e">
        <f t="shared" si="1"/>
        <v>#REF!</v>
      </c>
      <c r="K40" s="15">
        <f>-31-25</f>
        <v>-56</v>
      </c>
      <c r="L40" s="15" t="e">
        <f t="shared" si="2"/>
        <v>#REF!</v>
      </c>
      <c r="M40" s="62"/>
      <c r="N40" s="71"/>
      <c r="O40" s="72"/>
      <c r="P40" s="72"/>
      <c r="Q40" s="73"/>
      <c r="R40" s="44"/>
      <c r="S40" s="13"/>
      <c r="T40" s="13"/>
      <c r="U40" s="13"/>
    </row>
    <row r="41" spans="1:21" ht="9" customHeight="1">
      <c r="A41" s="10">
        <v>36</v>
      </c>
      <c r="B41" s="133"/>
      <c r="C41" s="17" t="s">
        <v>46</v>
      </c>
      <c r="D41" s="15"/>
      <c r="E41" s="29" t="e">
        <f>#REF!+#REF!+#REF!+#REF!+#REF!+#REF!+#REF!+#REF!+#REF!+#REF!+#REF!+#REF!+#REF!+#REF!+#REF!+#REF!+#REF!+#REF!+#REF!+#REF!+#REF!+#REF!+#REF!+#REF!+#REF!+#REF!+#REF!+#REF!+#REF!+#REF!+#REF!</f>
        <v>#REF!</v>
      </c>
      <c r="F41" s="29" t="e">
        <f>#REF!+#REF!+#REF!+#REF!+#REF!+#REF!+#REF!+#REF!+#REF!+#REF!+#REF!+#REF!+#REF!+#REF!+#REF!+#REF!+#REF!+#REF!+#REF!+#REF!+#REF!+#REF!+#REF!+#REF!+#REF!+#REF!+#REF!+#REF!+#REF!+#REF!+#REF!</f>
        <v>#REF!</v>
      </c>
      <c r="G41" s="15" t="e">
        <f t="shared" si="0"/>
        <v>#REF!</v>
      </c>
      <c r="H41" s="29" t="e">
        <f>#REF!+#REF!+#REF!+#REF!+#REF!+#REF!+#REF!+#REF!+#REF!+#REF!+#REF!+#REF!+#REF!+#REF!+#REF!+#REF!+#REF!+#REF!+#REF!+#REF!+#REF!+#REF!+#REF!+#REF!+#REF!+#REF!+#REF!+#REF!+#REF!+#REF!+#REF!</f>
        <v>#REF!</v>
      </c>
      <c r="I41" s="29" t="e">
        <f>#REF!+#REF!+#REF!+#REF!+#REF!+#REF!+#REF!+#REF!+#REF!+#REF!+#REF!+#REF!+#REF!+#REF!+#REF!+#REF!+#REF!+#REF!+#REF!+#REF!+#REF!+#REF!+#REF!+#REF!+#REF!+#REF!+#REF!+#REF!+#REF!+#REF!+#REF!</f>
        <v>#REF!</v>
      </c>
      <c r="J41" s="15" t="e">
        <f t="shared" si="1"/>
        <v>#REF!</v>
      </c>
      <c r="K41" s="52">
        <v>300</v>
      </c>
      <c r="L41" s="52" t="e">
        <f t="shared" si="2"/>
        <v>#REF!</v>
      </c>
      <c r="M41" s="30"/>
      <c r="N41" s="71"/>
      <c r="O41" s="72"/>
      <c r="P41" s="72"/>
      <c r="Q41" s="73"/>
      <c r="R41" s="44"/>
      <c r="S41" s="13"/>
      <c r="T41" s="13"/>
      <c r="U41" s="13"/>
    </row>
    <row r="42" spans="1:21" ht="9" customHeight="1">
      <c r="A42" s="10">
        <v>37</v>
      </c>
      <c r="B42" s="133"/>
      <c r="C42" s="17" t="s">
        <v>47</v>
      </c>
      <c r="D42" s="15"/>
      <c r="E42" s="29" t="e">
        <f>#REF!+#REF!+#REF!+#REF!+#REF!+#REF!+#REF!+#REF!+#REF!+#REF!+#REF!+#REF!+#REF!+#REF!+#REF!+#REF!+#REF!+#REF!+#REF!+#REF!+#REF!+#REF!+#REF!+#REF!+#REF!+#REF!+#REF!+#REF!+#REF!+#REF!+#REF!</f>
        <v>#REF!</v>
      </c>
      <c r="F42" s="29" t="e">
        <f>#REF!+#REF!+#REF!+#REF!+#REF!+#REF!+#REF!+#REF!+#REF!+#REF!+#REF!+#REF!+#REF!+#REF!+#REF!+#REF!+#REF!+#REF!+#REF!+#REF!+#REF!+#REF!+#REF!+#REF!+#REF!+#REF!+#REF!+#REF!+#REF!+#REF!+#REF!</f>
        <v>#REF!</v>
      </c>
      <c r="G42" s="15" t="e">
        <f t="shared" si="0"/>
        <v>#REF!</v>
      </c>
      <c r="H42" s="29" t="e">
        <f>#REF!+#REF!+#REF!+#REF!+#REF!+#REF!+#REF!+#REF!+#REF!+#REF!+#REF!+#REF!+#REF!+#REF!+#REF!+#REF!+#REF!+#REF!+#REF!+#REF!+#REF!+#REF!+#REF!+#REF!+#REF!+#REF!+#REF!+#REF!+#REF!+#REF!+#REF!</f>
        <v>#REF!</v>
      </c>
      <c r="I42" s="29" t="e">
        <f>#REF!+#REF!+#REF!+#REF!+#REF!+#REF!+#REF!+#REF!+#REF!+#REF!+#REF!+#REF!+#REF!+#REF!+#REF!+#REF!+#REF!+#REF!+#REF!+#REF!+#REF!+#REF!+#REF!+#REF!+#REF!+#REF!+#REF!+#REF!+#REF!+#REF!+#REF!</f>
        <v>#REF!</v>
      </c>
      <c r="J42" s="15" t="e">
        <f t="shared" si="1"/>
        <v>#REF!</v>
      </c>
      <c r="K42" s="15">
        <v>11</v>
      </c>
      <c r="L42" s="52" t="e">
        <f t="shared" si="2"/>
        <v>#REF!</v>
      </c>
      <c r="M42" s="31"/>
      <c r="N42" s="71"/>
      <c r="O42" s="72"/>
      <c r="P42" s="72"/>
      <c r="Q42" s="73"/>
      <c r="R42" s="44"/>
      <c r="S42" s="13"/>
      <c r="T42" s="13"/>
      <c r="U42" s="13"/>
    </row>
    <row r="43" spans="1:21" ht="9" customHeight="1">
      <c r="A43" s="10">
        <v>38</v>
      </c>
      <c r="B43" s="133"/>
      <c r="C43" s="17" t="s">
        <v>81</v>
      </c>
      <c r="D43" s="15"/>
      <c r="E43" s="29" t="e">
        <f>#REF!+#REF!+#REF!+#REF!+#REF!+#REF!+#REF!+#REF!+#REF!+#REF!+#REF!+#REF!+#REF!+#REF!+#REF!+#REF!+#REF!+#REF!+#REF!+#REF!+#REF!+#REF!+#REF!+#REF!+#REF!+#REF!+#REF!+#REF!+#REF!+#REF!+#REF!</f>
        <v>#REF!</v>
      </c>
      <c r="F43" s="29" t="e">
        <f>#REF!+#REF!+#REF!+#REF!+#REF!+#REF!+#REF!+#REF!+#REF!+#REF!+#REF!+#REF!+#REF!+#REF!+#REF!+#REF!+#REF!+#REF!+#REF!+#REF!+#REF!+#REF!+#REF!+#REF!+#REF!+#REF!+#REF!+#REF!+#REF!+#REF!+#REF!</f>
        <v>#REF!</v>
      </c>
      <c r="G43" s="15" t="e">
        <f t="shared" si="0"/>
        <v>#REF!</v>
      </c>
      <c r="H43" s="29" t="e">
        <f>#REF!+#REF!+#REF!+#REF!+#REF!+#REF!+#REF!+#REF!+#REF!+#REF!+#REF!+#REF!+#REF!+#REF!+#REF!+#REF!+#REF!+#REF!+#REF!+#REF!+#REF!+#REF!+#REF!+#REF!+#REF!+#REF!+#REF!+#REF!+#REF!+#REF!+#REF!</f>
        <v>#REF!</v>
      </c>
      <c r="I43" s="29" t="e">
        <f>#REF!+#REF!+#REF!+#REF!+#REF!+#REF!+#REF!+#REF!+#REF!+#REF!+#REF!+#REF!+#REF!+#REF!+#REF!+#REF!+#REF!+#REF!+#REF!+#REF!+#REF!+#REF!+#REF!+#REF!+#REF!+#REF!+#REF!+#REF!+#REF!+#REF!+#REF!</f>
        <v>#REF!</v>
      </c>
      <c r="J43" s="15" t="e">
        <f t="shared" si="1"/>
        <v>#REF!</v>
      </c>
      <c r="K43" s="15">
        <v>0</v>
      </c>
      <c r="L43" s="52" t="e">
        <f t="shared" si="2"/>
        <v>#REF!</v>
      </c>
      <c r="M43" s="31"/>
      <c r="N43" s="71"/>
      <c r="O43" s="72"/>
      <c r="P43" s="72"/>
      <c r="Q43" s="73"/>
      <c r="R43" s="44"/>
      <c r="S43" s="13"/>
      <c r="T43" s="13"/>
      <c r="U43" s="13"/>
    </row>
    <row r="44" spans="1:21" ht="9" customHeight="1">
      <c r="A44" s="10">
        <v>39</v>
      </c>
      <c r="B44" s="133"/>
      <c r="C44" s="17" t="s">
        <v>48</v>
      </c>
      <c r="D44" s="15"/>
      <c r="E44" s="29" t="e">
        <f>#REF!+#REF!+#REF!+#REF!+#REF!+#REF!+#REF!+#REF!+#REF!+#REF!+#REF!+#REF!+#REF!+#REF!+#REF!+#REF!+#REF!+#REF!+#REF!+#REF!+#REF!+#REF!+#REF!+#REF!+#REF!+#REF!+#REF!+#REF!+#REF!+#REF!+#REF!</f>
        <v>#REF!</v>
      </c>
      <c r="F44" s="29" t="e">
        <f>#REF!+#REF!+#REF!+#REF!+#REF!+#REF!+#REF!+#REF!+#REF!+#REF!+#REF!+#REF!+#REF!+#REF!+#REF!+#REF!+#REF!+#REF!+#REF!+#REF!+#REF!+#REF!+#REF!+#REF!+#REF!+#REF!+#REF!+#REF!+#REF!+#REF!+#REF!</f>
        <v>#REF!</v>
      </c>
      <c r="G44" s="15" t="e">
        <f t="shared" si="0"/>
        <v>#REF!</v>
      </c>
      <c r="H44" s="29" t="e">
        <f>#REF!+#REF!+#REF!+#REF!+#REF!+#REF!+#REF!+#REF!+#REF!+#REF!+#REF!+#REF!+#REF!+#REF!+#REF!+#REF!+#REF!+#REF!+#REF!+#REF!+#REF!+#REF!+#REF!+#REF!+#REF!+#REF!+#REF!+#REF!+#REF!+#REF!+#REF!</f>
        <v>#REF!</v>
      </c>
      <c r="I44" s="29" t="e">
        <f>#REF!+#REF!+#REF!+#REF!+#REF!+#REF!+#REF!+#REF!+#REF!+#REF!+#REF!+#REF!+#REF!+#REF!+#REF!+#REF!+#REF!+#REF!+#REF!+#REF!+#REF!+#REF!+#REF!+#REF!+#REF!+#REF!+#REF!+#REF!+#REF!+#REF!+#REF!</f>
        <v>#REF!</v>
      </c>
      <c r="J44" s="15" t="e">
        <f t="shared" si="1"/>
        <v>#REF!</v>
      </c>
      <c r="K44" s="15">
        <v>1860</v>
      </c>
      <c r="L44" s="15" t="e">
        <f t="shared" si="2"/>
        <v>#REF!</v>
      </c>
      <c r="M44" s="62"/>
      <c r="N44" s="71"/>
      <c r="O44" s="72"/>
      <c r="P44" s="72"/>
      <c r="Q44" s="73"/>
      <c r="R44" s="44"/>
      <c r="S44" s="13"/>
      <c r="T44" s="13"/>
      <c r="U44" s="13"/>
    </row>
    <row r="45" spans="1:21" ht="9" customHeight="1">
      <c r="A45" s="10">
        <v>40</v>
      </c>
      <c r="B45" s="133"/>
      <c r="C45" s="17" t="s">
        <v>49</v>
      </c>
      <c r="D45" s="15"/>
      <c r="E45" s="29" t="e">
        <f>#REF!+#REF!+#REF!+#REF!+#REF!+#REF!+#REF!+#REF!+#REF!+#REF!+#REF!+#REF!+#REF!+#REF!+#REF!+#REF!+#REF!+#REF!+#REF!+#REF!+#REF!+#REF!+#REF!+#REF!+#REF!+#REF!+#REF!+#REF!+#REF!+#REF!+#REF!</f>
        <v>#REF!</v>
      </c>
      <c r="F45" s="29" t="e">
        <f>#REF!+#REF!+#REF!+#REF!+#REF!+#REF!+#REF!+#REF!+#REF!+#REF!+#REF!+#REF!+#REF!+#REF!+#REF!+#REF!+#REF!+#REF!+#REF!+#REF!+#REF!+#REF!+#REF!+#REF!+#REF!+#REF!+#REF!+#REF!+#REF!+#REF!+#REF!</f>
        <v>#REF!</v>
      </c>
      <c r="G45" s="15" t="e">
        <f t="shared" si="0"/>
        <v>#REF!</v>
      </c>
      <c r="H45" s="29" t="e">
        <f>#REF!+#REF!+#REF!+#REF!+#REF!+#REF!+#REF!+#REF!+#REF!+#REF!+#REF!+#REF!+#REF!+#REF!+#REF!+#REF!+#REF!+#REF!+#REF!+#REF!+#REF!+#REF!+#REF!+#REF!+#REF!+#REF!+#REF!+#REF!+#REF!+#REF!+#REF!</f>
        <v>#REF!</v>
      </c>
      <c r="I45" s="29" t="e">
        <f>#REF!+#REF!+#REF!+#REF!+#REF!+#REF!+#REF!+#REF!+#REF!+#REF!+#REF!+#REF!+#REF!+#REF!+#REF!+#REF!+#REF!+#REF!+#REF!+#REF!+#REF!+#REF!+#REF!+#REF!+#REF!+#REF!+#REF!+#REF!+#REF!+#REF!+#REF!</f>
        <v>#REF!</v>
      </c>
      <c r="J45" s="15" t="e">
        <f t="shared" si="1"/>
        <v>#REF!</v>
      </c>
      <c r="K45" s="15">
        <v>50</v>
      </c>
      <c r="L45" s="52" t="e">
        <f t="shared" si="2"/>
        <v>#REF!</v>
      </c>
      <c r="M45" s="30"/>
      <c r="N45" s="71"/>
      <c r="O45" s="72"/>
      <c r="P45" s="72"/>
      <c r="Q45" s="73"/>
      <c r="R45" s="44"/>
      <c r="S45" s="13"/>
      <c r="T45" s="13"/>
      <c r="U45" s="13"/>
    </row>
    <row r="46" spans="1:21" ht="9" customHeight="1">
      <c r="A46" s="10">
        <v>41</v>
      </c>
      <c r="B46" s="133"/>
      <c r="C46" s="17" t="s">
        <v>50</v>
      </c>
      <c r="D46" s="15"/>
      <c r="E46" s="29" t="e">
        <f>#REF!+#REF!+#REF!+#REF!+#REF!+#REF!+#REF!+#REF!+#REF!+#REF!+#REF!+#REF!+#REF!+#REF!+#REF!+#REF!+#REF!+#REF!+#REF!+#REF!+#REF!+#REF!+#REF!+#REF!+#REF!+#REF!+#REF!+#REF!+#REF!+#REF!+#REF!</f>
        <v>#REF!</v>
      </c>
      <c r="F46" s="29" t="e">
        <f>#REF!+#REF!+#REF!+#REF!+#REF!+#REF!+#REF!+#REF!+#REF!+#REF!+#REF!+#REF!+#REF!+#REF!+#REF!+#REF!+#REF!+#REF!+#REF!+#REF!+#REF!+#REF!+#REF!+#REF!+#REF!+#REF!+#REF!+#REF!+#REF!+#REF!+#REF!</f>
        <v>#REF!</v>
      </c>
      <c r="G46" s="15" t="e">
        <f t="shared" si="0"/>
        <v>#REF!</v>
      </c>
      <c r="H46" s="29" t="e">
        <f>#REF!+#REF!+#REF!+#REF!+#REF!+#REF!+#REF!+#REF!+#REF!+#REF!+#REF!+#REF!+#REF!+#REF!+#REF!+#REF!+#REF!+#REF!+#REF!+#REF!+#REF!+#REF!+#REF!+#REF!+#REF!+#REF!+#REF!+#REF!+#REF!+#REF!+#REF!</f>
        <v>#REF!</v>
      </c>
      <c r="I46" s="29" t="e">
        <f>#REF!+#REF!+#REF!+#REF!+#REF!+#REF!+#REF!+#REF!+#REF!+#REF!+#REF!+#REF!+#REF!+#REF!+#REF!+#REF!+#REF!+#REF!+#REF!+#REF!+#REF!+#REF!+#REF!+#REF!+#REF!+#REF!+#REF!+#REF!+#REF!+#REF!+#REF!</f>
        <v>#REF!</v>
      </c>
      <c r="J46" s="15" t="e">
        <f t="shared" si="1"/>
        <v>#REF!</v>
      </c>
      <c r="K46" s="15">
        <v>0</v>
      </c>
      <c r="L46" s="15" t="e">
        <f t="shared" si="2"/>
        <v>#REF!</v>
      </c>
      <c r="M46" s="62"/>
      <c r="N46" s="71"/>
      <c r="O46" s="72"/>
      <c r="P46" s="72"/>
      <c r="Q46" s="73"/>
      <c r="R46" s="44"/>
      <c r="S46" s="13"/>
      <c r="T46" s="13"/>
      <c r="U46" s="13"/>
    </row>
    <row r="47" spans="1:21" ht="9" customHeight="1">
      <c r="A47" s="10">
        <v>42</v>
      </c>
      <c r="B47" s="133"/>
      <c r="C47" s="17" t="s">
        <v>98</v>
      </c>
      <c r="D47" s="15"/>
      <c r="E47" s="29" t="e">
        <f>#REF!+#REF!+#REF!+#REF!+#REF!+#REF!+#REF!+#REF!+#REF!+#REF!+#REF!+#REF!+#REF!+#REF!+#REF!+#REF!+#REF!+#REF!+#REF!+#REF!+#REF!+#REF!+#REF!+#REF!+#REF!+#REF!+#REF!+#REF!+#REF!+#REF!+#REF!</f>
        <v>#REF!</v>
      </c>
      <c r="F47" s="29" t="e">
        <f>#REF!+#REF!+#REF!+#REF!+#REF!+#REF!+#REF!+#REF!+#REF!+#REF!+#REF!+#REF!+#REF!+#REF!+#REF!+#REF!+#REF!+#REF!+#REF!+#REF!+#REF!+#REF!+#REF!+#REF!+#REF!+#REF!+#REF!+#REF!+#REF!+#REF!+#REF!</f>
        <v>#REF!</v>
      </c>
      <c r="G47" s="15" t="e">
        <f t="shared" si="0"/>
        <v>#REF!</v>
      </c>
      <c r="H47" s="29" t="e">
        <f>#REF!+#REF!+#REF!+#REF!+#REF!+#REF!+#REF!+#REF!+#REF!+#REF!+#REF!+#REF!+#REF!+#REF!+#REF!+#REF!+#REF!+#REF!+#REF!+#REF!+#REF!+#REF!+#REF!+#REF!+#REF!+#REF!+#REF!+#REF!+#REF!+#REF!+#REF!</f>
        <v>#REF!</v>
      </c>
      <c r="I47" s="29" t="e">
        <f>#REF!+#REF!+#REF!+#REF!+#REF!+#REF!+#REF!+#REF!+#REF!+#REF!+#REF!+#REF!+#REF!+#REF!+#REF!+#REF!+#REF!+#REF!+#REF!+#REF!+#REF!+#REF!+#REF!+#REF!+#REF!+#REF!+#REF!+#REF!+#REF!+#REF!+#REF!</f>
        <v>#REF!</v>
      </c>
      <c r="J47" s="15" t="e">
        <f t="shared" si="1"/>
        <v>#REF!</v>
      </c>
      <c r="K47" s="15">
        <v>434</v>
      </c>
      <c r="L47" s="52" t="e">
        <f t="shared" si="2"/>
        <v>#REF!</v>
      </c>
      <c r="M47" s="31"/>
      <c r="N47" s="71"/>
      <c r="O47" s="72"/>
      <c r="P47" s="72"/>
      <c r="Q47" s="73"/>
      <c r="R47" s="44"/>
      <c r="S47" s="13"/>
      <c r="T47" s="13"/>
      <c r="U47" s="13"/>
    </row>
    <row r="48" spans="1:21" ht="9" customHeight="1">
      <c r="A48" s="10">
        <v>43</v>
      </c>
      <c r="B48" s="133"/>
      <c r="C48" s="37" t="s">
        <v>99</v>
      </c>
      <c r="D48" s="15"/>
      <c r="E48" s="29" t="e">
        <f>#REF!+#REF!+#REF!+#REF!+#REF!+#REF!+#REF!+#REF!+#REF!+#REF!+#REF!+#REF!+#REF!+#REF!+#REF!+#REF!+#REF!+#REF!+#REF!+#REF!+#REF!+#REF!+#REF!+#REF!+#REF!+#REF!+#REF!+#REF!+#REF!+#REF!+#REF!</f>
        <v>#REF!</v>
      </c>
      <c r="F48" s="29" t="e">
        <f>#REF!+#REF!+#REF!+#REF!+#REF!+#REF!+#REF!+#REF!+#REF!+#REF!+#REF!+#REF!+#REF!+#REF!+#REF!+#REF!+#REF!+#REF!+#REF!+#REF!+#REF!+#REF!+#REF!+#REF!+#REF!+#REF!+#REF!+#REF!+#REF!+#REF!+#REF!</f>
        <v>#REF!</v>
      </c>
      <c r="G48" s="15" t="e">
        <f t="shared" si="0"/>
        <v>#REF!</v>
      </c>
      <c r="H48" s="29" t="e">
        <f>#REF!+#REF!+#REF!+#REF!+#REF!+#REF!+#REF!+#REF!+#REF!+#REF!+#REF!+#REF!+#REF!+#REF!+#REF!+#REF!+#REF!+#REF!+#REF!+#REF!+#REF!+#REF!+#REF!+#REF!+#REF!+#REF!+#REF!+#REF!+#REF!+#REF!+#REF!</f>
        <v>#REF!</v>
      </c>
      <c r="I48" s="29" t="e">
        <f>#REF!+#REF!+#REF!+#REF!+#REF!+#REF!+#REF!+#REF!+#REF!+#REF!+#REF!+#REF!+#REF!+#REF!+#REF!+#REF!+#REF!+#REF!+#REF!+#REF!+#REF!+#REF!+#REF!+#REF!+#REF!+#REF!+#REF!+#REF!+#REF!+#REF!+#REF!</f>
        <v>#REF!</v>
      </c>
      <c r="J48" s="15" t="e">
        <f t="shared" si="1"/>
        <v>#REF!</v>
      </c>
      <c r="K48" s="15">
        <v>-100</v>
      </c>
      <c r="L48" s="52" t="e">
        <f t="shared" si="2"/>
        <v>#REF!</v>
      </c>
      <c r="M48" s="31"/>
      <c r="N48" s="71"/>
      <c r="O48" s="72"/>
      <c r="P48" s="72"/>
      <c r="Q48" s="73"/>
      <c r="R48" s="44"/>
      <c r="S48" s="13"/>
      <c r="T48" s="13"/>
      <c r="U48" s="13"/>
    </row>
    <row r="49" spans="1:20" ht="9" customHeight="1">
      <c r="A49" s="10">
        <v>44</v>
      </c>
      <c r="B49" s="133"/>
      <c r="C49" s="17" t="s">
        <v>100</v>
      </c>
      <c r="D49" s="15"/>
      <c r="E49" s="29" t="e">
        <f>#REF!+#REF!+#REF!+#REF!+#REF!+#REF!+#REF!+#REF!+#REF!+#REF!+#REF!+#REF!+#REF!+#REF!+#REF!+#REF!+#REF!+#REF!+#REF!+#REF!+#REF!+#REF!+#REF!+#REF!+#REF!+#REF!+#REF!+#REF!+#REF!+#REF!+#REF!</f>
        <v>#REF!</v>
      </c>
      <c r="F49" s="29" t="e">
        <f>#REF!+#REF!+#REF!+#REF!+#REF!+#REF!+#REF!+#REF!+#REF!+#REF!+#REF!+#REF!+#REF!+#REF!+#REF!+#REF!+#REF!+#REF!+#REF!+#REF!+#REF!+#REF!+#REF!+#REF!+#REF!+#REF!+#REF!+#REF!+#REF!+#REF!+#REF!</f>
        <v>#REF!</v>
      </c>
      <c r="G49" s="15" t="e">
        <f t="shared" si="0"/>
        <v>#REF!</v>
      </c>
      <c r="H49" s="29" t="e">
        <f>#REF!+#REF!+#REF!+#REF!+#REF!+#REF!+#REF!+#REF!+#REF!+#REF!+#REF!+#REF!+#REF!+#REF!+#REF!+#REF!+#REF!+#REF!+#REF!+#REF!+#REF!+#REF!+#REF!+#REF!+#REF!+#REF!+#REF!+#REF!+#REF!+#REF!+#REF!</f>
        <v>#REF!</v>
      </c>
      <c r="I49" s="29" t="e">
        <f>#REF!+#REF!+#REF!+#REF!+#REF!+#REF!+#REF!+#REF!+#REF!+#REF!+#REF!+#REF!+#REF!+#REF!+#REF!+#REF!+#REF!+#REF!+#REF!+#REF!+#REF!+#REF!+#REF!+#REF!+#REF!+#REF!+#REF!+#REF!+#REF!+#REF!+#REF!</f>
        <v>#REF!</v>
      </c>
      <c r="J49" s="15" t="e">
        <f t="shared" si="1"/>
        <v>#REF!</v>
      </c>
      <c r="K49" s="15">
        <v>-24</v>
      </c>
      <c r="L49" s="52" t="e">
        <f t="shared" si="2"/>
        <v>#REF!</v>
      </c>
      <c r="M49" s="31"/>
      <c r="N49" s="71"/>
      <c r="O49" s="72"/>
      <c r="P49" s="72"/>
      <c r="Q49" s="73"/>
      <c r="R49" s="44"/>
    </row>
    <row r="50" spans="1:20" ht="9" customHeight="1">
      <c r="A50" s="10">
        <v>45</v>
      </c>
      <c r="B50" s="133"/>
      <c r="C50" s="17" t="s">
        <v>101</v>
      </c>
      <c r="D50" s="15"/>
      <c r="E50" s="29" t="e">
        <f>#REF!+#REF!+#REF!+#REF!+#REF!+#REF!+#REF!+#REF!+#REF!+#REF!+#REF!+#REF!+#REF!+#REF!+#REF!+#REF!+#REF!+#REF!+#REF!+#REF!+#REF!+#REF!+#REF!+#REF!+#REF!+#REF!+#REF!+#REF!+#REF!+#REF!+#REF!</f>
        <v>#REF!</v>
      </c>
      <c r="F50" s="29" t="e">
        <f>#REF!+#REF!+#REF!+#REF!+#REF!+#REF!+#REF!+#REF!+#REF!+#REF!+#REF!+#REF!+#REF!+#REF!+#REF!+#REF!+#REF!+#REF!+#REF!+#REF!+#REF!+#REF!+#REF!+#REF!+#REF!+#REF!+#REF!+#REF!+#REF!+#REF!+#REF!</f>
        <v>#REF!</v>
      </c>
      <c r="G50" s="15" t="e">
        <f t="shared" si="0"/>
        <v>#REF!</v>
      </c>
      <c r="H50" s="29" t="e">
        <f>#REF!+#REF!+#REF!+#REF!+#REF!+#REF!+#REF!+#REF!+#REF!+#REF!+#REF!+#REF!+#REF!+#REF!+#REF!+#REF!+#REF!+#REF!+#REF!+#REF!+#REF!+#REF!+#REF!+#REF!+#REF!+#REF!+#REF!+#REF!+#REF!+#REF!+#REF!</f>
        <v>#REF!</v>
      </c>
      <c r="I50" s="29" t="e">
        <f>#REF!+#REF!+#REF!+#REF!+#REF!+#REF!+#REF!+#REF!+#REF!+#REF!+#REF!+#REF!+#REF!+#REF!+#REF!+#REF!+#REF!+#REF!+#REF!+#REF!+#REF!+#REF!+#REF!+#REF!+#REF!+#REF!+#REF!+#REF!+#REF!+#REF!+#REF!</f>
        <v>#REF!</v>
      </c>
      <c r="J50" s="15" t="e">
        <f t="shared" si="1"/>
        <v>#REF!</v>
      </c>
      <c r="K50" s="52">
        <v>200</v>
      </c>
      <c r="L50" s="52" t="e">
        <f t="shared" si="2"/>
        <v>#REF!</v>
      </c>
      <c r="M50" s="31"/>
      <c r="N50" s="71"/>
      <c r="O50" s="72"/>
      <c r="P50" s="72"/>
      <c r="Q50" s="73"/>
      <c r="R50" s="44"/>
      <c r="S50" s="39"/>
      <c r="T50" s="39"/>
    </row>
    <row r="51" spans="1:20" ht="9" customHeight="1">
      <c r="A51" s="10">
        <v>46</v>
      </c>
      <c r="B51" s="133"/>
      <c r="C51" s="17" t="s">
        <v>91</v>
      </c>
      <c r="D51" s="15"/>
      <c r="E51" s="29" t="e">
        <f>#REF!+#REF!+#REF!+#REF!+#REF!+#REF!+#REF!+#REF!+#REF!+#REF!+#REF!+#REF!+#REF!+#REF!+#REF!+#REF!+#REF!+#REF!+#REF!+#REF!+#REF!+#REF!+#REF!+#REF!+#REF!+#REF!+#REF!+#REF!+#REF!+#REF!+#REF!</f>
        <v>#REF!</v>
      </c>
      <c r="F51" s="29" t="e">
        <f>#REF!+#REF!+#REF!+#REF!+#REF!+#REF!+#REF!+#REF!+#REF!+#REF!+#REF!+#REF!+#REF!+#REF!+#REF!+#REF!+#REF!+#REF!+#REF!+#REF!+#REF!+#REF!+#REF!+#REF!+#REF!+#REF!+#REF!+#REF!+#REF!+#REF!+#REF!</f>
        <v>#REF!</v>
      </c>
      <c r="G51" s="15" t="e">
        <f t="shared" si="0"/>
        <v>#REF!</v>
      </c>
      <c r="H51" s="29" t="e">
        <f>#REF!+#REF!+#REF!+#REF!+#REF!+#REF!+#REF!+#REF!+#REF!+#REF!+#REF!+#REF!+#REF!+#REF!+#REF!+#REF!+#REF!+#REF!+#REF!+#REF!+#REF!+#REF!+#REF!+#REF!+#REF!+#REF!+#REF!+#REF!+#REF!+#REF!+#REF!</f>
        <v>#REF!</v>
      </c>
      <c r="I51" s="29" t="e">
        <f>#REF!+#REF!+#REF!+#REF!+#REF!+#REF!+#REF!+#REF!+#REF!+#REF!+#REF!+#REF!+#REF!+#REF!+#REF!+#REF!+#REF!+#REF!+#REF!+#REF!+#REF!+#REF!+#REF!+#REF!+#REF!+#REF!+#REF!+#REF!+#REF!+#REF!+#REF!</f>
        <v>#REF!</v>
      </c>
      <c r="J51" s="15" t="e">
        <f t="shared" si="1"/>
        <v>#REF!</v>
      </c>
      <c r="K51" s="15">
        <v>1</v>
      </c>
      <c r="L51" s="52" t="e">
        <f t="shared" si="2"/>
        <v>#REF!</v>
      </c>
      <c r="M51" s="31"/>
      <c r="N51" s="71"/>
      <c r="O51" s="72"/>
      <c r="P51" s="72"/>
      <c r="Q51" s="73"/>
      <c r="R51" s="44"/>
    </row>
    <row r="52" spans="1:20" ht="9" customHeight="1">
      <c r="A52" s="10">
        <v>47</v>
      </c>
      <c r="B52" s="133"/>
      <c r="C52" s="17" t="s">
        <v>51</v>
      </c>
      <c r="D52" s="15"/>
      <c r="E52" s="29" t="e">
        <f>#REF!+#REF!+#REF!+#REF!+#REF!+#REF!+#REF!+#REF!+#REF!+#REF!+#REF!+#REF!+#REF!+#REF!+#REF!+#REF!+#REF!+#REF!+#REF!+#REF!+#REF!+#REF!+#REF!+#REF!+#REF!+#REF!+#REF!+#REF!+#REF!+#REF!+#REF!</f>
        <v>#REF!</v>
      </c>
      <c r="F52" s="29" t="e">
        <f>#REF!+#REF!+#REF!+#REF!+#REF!+#REF!+#REF!+#REF!+#REF!+#REF!+#REF!+#REF!+#REF!+#REF!+#REF!+#REF!+#REF!+#REF!+#REF!+#REF!+#REF!+#REF!+#REF!+#REF!+#REF!+#REF!+#REF!+#REF!+#REF!+#REF!+#REF!</f>
        <v>#REF!</v>
      </c>
      <c r="G52" s="15" t="e">
        <f t="shared" si="0"/>
        <v>#REF!</v>
      </c>
      <c r="H52" s="29" t="e">
        <f>#REF!+#REF!+#REF!+#REF!+#REF!+#REF!+#REF!+#REF!+#REF!+#REF!+#REF!+#REF!+#REF!+#REF!+#REF!+#REF!+#REF!+#REF!+#REF!+#REF!+#REF!+#REF!+#REF!+#REF!+#REF!+#REF!+#REF!+#REF!+#REF!+#REF!+#REF!</f>
        <v>#REF!</v>
      </c>
      <c r="I52" s="29" t="e">
        <f>#REF!+#REF!+#REF!+#REF!+#REF!+#REF!+#REF!+#REF!+#REF!+#REF!+#REF!+#REF!+#REF!+#REF!+#REF!+#REF!+#REF!+#REF!+#REF!+#REF!+#REF!+#REF!+#REF!+#REF!+#REF!+#REF!+#REF!+#REF!+#REF!+#REF!+#REF!</f>
        <v>#REF!</v>
      </c>
      <c r="J52" s="15" t="e">
        <f t="shared" si="1"/>
        <v>#REF!</v>
      </c>
      <c r="K52" s="15">
        <v>0</v>
      </c>
      <c r="L52" s="15" t="e">
        <f t="shared" si="2"/>
        <v>#REF!</v>
      </c>
      <c r="M52" s="31"/>
      <c r="N52" s="71"/>
      <c r="O52" s="72"/>
      <c r="P52" s="72"/>
      <c r="Q52" s="73"/>
      <c r="R52" s="44"/>
    </row>
    <row r="53" spans="1:20" ht="9" customHeight="1">
      <c r="A53" s="10">
        <v>48</v>
      </c>
      <c r="B53" s="133"/>
      <c r="C53" s="17" t="s">
        <v>92</v>
      </c>
      <c r="D53" s="15"/>
      <c r="E53" s="29" t="e">
        <f>#REF!+#REF!+#REF!+#REF!+#REF!+#REF!+#REF!+#REF!+#REF!+#REF!+#REF!+#REF!+#REF!+#REF!+#REF!+#REF!+#REF!+#REF!+#REF!+#REF!+#REF!+#REF!+#REF!+#REF!+#REF!+#REF!+#REF!+#REF!+#REF!+#REF!+#REF!</f>
        <v>#REF!</v>
      </c>
      <c r="F53" s="29" t="e">
        <f>#REF!+#REF!+#REF!+#REF!+#REF!+#REF!+#REF!+#REF!+#REF!+#REF!+#REF!+#REF!+#REF!+#REF!+#REF!+#REF!+#REF!+#REF!+#REF!+#REF!+#REF!+#REF!+#REF!+#REF!+#REF!+#REF!+#REF!+#REF!+#REF!+#REF!+#REF!</f>
        <v>#REF!</v>
      </c>
      <c r="G53" s="15" t="e">
        <f t="shared" si="0"/>
        <v>#REF!</v>
      </c>
      <c r="H53" s="29" t="e">
        <f>#REF!+#REF!+#REF!+#REF!+#REF!+#REF!+#REF!+#REF!+#REF!+#REF!+#REF!+#REF!+#REF!+#REF!+#REF!+#REF!+#REF!+#REF!+#REF!+#REF!+#REF!+#REF!+#REF!+#REF!+#REF!+#REF!+#REF!+#REF!+#REF!+#REF!+#REF!</f>
        <v>#REF!</v>
      </c>
      <c r="I53" s="29" t="e">
        <f>#REF!+#REF!+#REF!+#REF!+#REF!+#REF!+#REF!+#REF!+#REF!+#REF!+#REF!+#REF!+#REF!+#REF!+#REF!+#REF!+#REF!+#REF!+#REF!+#REF!+#REF!+#REF!+#REF!+#REF!+#REF!+#REF!+#REF!+#REF!+#REF!+#REF!+#REF!</f>
        <v>#REF!</v>
      </c>
      <c r="J53" s="15" t="e">
        <f t="shared" si="1"/>
        <v>#REF!</v>
      </c>
      <c r="K53" s="15">
        <v>0</v>
      </c>
      <c r="L53" s="15" t="e">
        <f t="shared" si="2"/>
        <v>#REF!</v>
      </c>
      <c r="M53" s="31"/>
      <c r="N53" s="71"/>
      <c r="O53" s="72"/>
      <c r="P53" s="72"/>
      <c r="Q53" s="73"/>
      <c r="R53" s="44"/>
    </row>
    <row r="54" spans="1:20" ht="9" customHeight="1">
      <c r="A54" s="10">
        <v>49</v>
      </c>
      <c r="B54" s="133"/>
      <c r="C54" s="17" t="s">
        <v>108</v>
      </c>
      <c r="D54" s="15"/>
      <c r="E54" s="29" t="e">
        <f>#REF!+#REF!+#REF!+#REF!+#REF!+#REF!+#REF!+#REF!+#REF!+#REF!+#REF!+#REF!+#REF!+#REF!+#REF!+#REF!+#REF!+#REF!+#REF!+#REF!+#REF!+#REF!+#REF!+#REF!+#REF!+#REF!+#REF!+#REF!+#REF!+#REF!+#REF!</f>
        <v>#REF!</v>
      </c>
      <c r="F54" s="29" t="e">
        <f>#REF!+#REF!+#REF!+#REF!+#REF!+#REF!+#REF!+#REF!+#REF!+#REF!+#REF!+#REF!+#REF!+#REF!+#REF!+#REF!+#REF!+#REF!+#REF!+#REF!+#REF!+#REF!+#REF!+#REF!+#REF!+#REF!+#REF!+#REF!+#REF!+#REF!+#REF!</f>
        <v>#REF!</v>
      </c>
      <c r="G54" s="15" t="e">
        <f t="shared" si="0"/>
        <v>#REF!</v>
      </c>
      <c r="H54" s="29" t="e">
        <f>#REF!+#REF!+#REF!+#REF!+#REF!+#REF!+#REF!+#REF!+#REF!+#REF!+#REF!+#REF!+#REF!+#REF!+#REF!+#REF!+#REF!+#REF!+#REF!+#REF!+#REF!+#REF!+#REF!+#REF!+#REF!+#REF!+#REF!+#REF!+#REF!+#REF!+#REF!</f>
        <v>#REF!</v>
      </c>
      <c r="I54" s="29" t="e">
        <f>#REF!+#REF!+#REF!+#REF!+#REF!+#REF!+#REF!+#REF!+#REF!+#REF!+#REF!+#REF!+#REF!+#REF!+#REF!+#REF!+#REF!+#REF!+#REF!+#REF!+#REF!+#REF!+#REF!+#REF!+#REF!+#REF!+#REF!+#REF!+#REF!+#REF!+#REF!</f>
        <v>#REF!</v>
      </c>
      <c r="J54" s="15" t="e">
        <f t="shared" si="1"/>
        <v>#REF!</v>
      </c>
      <c r="K54" s="15">
        <v>0</v>
      </c>
      <c r="L54" s="15" t="e">
        <f t="shared" si="2"/>
        <v>#REF!</v>
      </c>
      <c r="M54" s="62"/>
      <c r="N54" s="71"/>
      <c r="O54" s="72"/>
      <c r="P54" s="72"/>
      <c r="Q54" s="73"/>
      <c r="R54" s="44"/>
    </row>
    <row r="55" spans="1:20" ht="9" customHeight="1">
      <c r="A55" s="10">
        <v>50</v>
      </c>
      <c r="B55" s="133"/>
      <c r="C55" s="37" t="s">
        <v>97</v>
      </c>
      <c r="D55" s="15"/>
      <c r="E55" s="29" t="e">
        <f>#REF!+#REF!+#REF!+#REF!+#REF!+#REF!+#REF!+#REF!+#REF!+#REF!+#REF!+#REF!+#REF!+#REF!+#REF!+#REF!+#REF!+#REF!+#REF!+#REF!+#REF!+#REF!+#REF!+#REF!+#REF!+#REF!+#REF!+#REF!+#REF!+#REF!+#REF!</f>
        <v>#REF!</v>
      </c>
      <c r="F55" s="29" t="e">
        <f>#REF!+#REF!+#REF!+#REF!+#REF!+#REF!+#REF!+#REF!+#REF!+#REF!+#REF!+#REF!+#REF!+#REF!+#REF!+#REF!+#REF!+#REF!+#REF!+#REF!+#REF!+#REF!+#REF!+#REF!+#REF!+#REF!+#REF!+#REF!+#REF!+#REF!+#REF!</f>
        <v>#REF!</v>
      </c>
      <c r="G55" s="15" t="e">
        <f t="shared" si="0"/>
        <v>#REF!</v>
      </c>
      <c r="H55" s="29" t="e">
        <f>#REF!+#REF!+#REF!+#REF!+#REF!+#REF!+#REF!+#REF!+#REF!+#REF!+#REF!+#REF!+#REF!+#REF!+#REF!+#REF!+#REF!+#REF!+#REF!+#REF!+#REF!+#REF!+#REF!+#REF!+#REF!+#REF!+#REF!+#REF!+#REF!+#REF!+#REF!</f>
        <v>#REF!</v>
      </c>
      <c r="I55" s="29" t="e">
        <f>#REF!+#REF!+#REF!+#REF!+#REF!+#REF!+#REF!+#REF!+#REF!+#REF!+#REF!+#REF!+#REF!+#REF!+#REF!+#REF!+#REF!+#REF!+#REF!+#REF!+#REF!+#REF!+#REF!+#REF!+#REF!+#REF!+#REF!+#REF!+#REF!+#REF!+#REF!</f>
        <v>#REF!</v>
      </c>
      <c r="J55" s="15" t="e">
        <f t="shared" si="1"/>
        <v>#REF!</v>
      </c>
      <c r="K55" s="15">
        <v>-20</v>
      </c>
      <c r="L55" s="52" t="e">
        <f t="shared" si="2"/>
        <v>#REF!</v>
      </c>
      <c r="M55" s="31"/>
      <c r="N55" s="71"/>
      <c r="O55" s="72"/>
      <c r="P55" s="72"/>
      <c r="Q55" s="73"/>
      <c r="R55" s="44"/>
    </row>
    <row r="56" spans="1:20" ht="9" customHeight="1">
      <c r="A56" s="10">
        <v>51</v>
      </c>
      <c r="B56" s="133"/>
      <c r="C56" s="17" t="s">
        <v>52</v>
      </c>
      <c r="D56" s="15"/>
      <c r="E56" s="29" t="e">
        <f>#REF!+#REF!+#REF!+#REF!+#REF!+#REF!+#REF!+#REF!+#REF!+#REF!+#REF!+#REF!+#REF!+#REF!+#REF!+#REF!+#REF!+#REF!+#REF!+#REF!+#REF!+#REF!+#REF!+#REF!+#REF!+#REF!+#REF!+#REF!+#REF!+#REF!+#REF!</f>
        <v>#REF!</v>
      </c>
      <c r="F56" s="29" t="e">
        <f>#REF!+#REF!+#REF!+#REF!+#REF!+#REF!+#REF!+#REF!+#REF!+#REF!+#REF!+#REF!+#REF!+#REF!+#REF!+#REF!+#REF!+#REF!+#REF!+#REF!+#REF!+#REF!+#REF!+#REF!+#REF!+#REF!+#REF!+#REF!+#REF!+#REF!+#REF!</f>
        <v>#REF!</v>
      </c>
      <c r="G56" s="15" t="e">
        <f t="shared" si="0"/>
        <v>#REF!</v>
      </c>
      <c r="H56" s="29" t="e">
        <f>#REF!+#REF!+#REF!+#REF!+#REF!+#REF!+#REF!+#REF!+#REF!+#REF!+#REF!+#REF!+#REF!+#REF!+#REF!+#REF!+#REF!+#REF!+#REF!+#REF!+#REF!+#REF!+#REF!+#REF!+#REF!+#REF!+#REF!+#REF!+#REF!+#REF!+#REF!</f>
        <v>#REF!</v>
      </c>
      <c r="I56" s="29" t="e">
        <f>#REF!+#REF!+#REF!+#REF!+#REF!+#REF!+#REF!+#REF!+#REF!+#REF!+#REF!+#REF!+#REF!+#REF!+#REF!+#REF!+#REF!+#REF!+#REF!+#REF!+#REF!+#REF!+#REF!+#REF!+#REF!+#REF!+#REF!+#REF!+#REF!+#REF!+#REF!</f>
        <v>#REF!</v>
      </c>
      <c r="J56" s="15" t="e">
        <f t="shared" si="1"/>
        <v>#REF!</v>
      </c>
      <c r="K56" s="15">
        <v>160</v>
      </c>
      <c r="L56" s="52" t="e">
        <f t="shared" si="2"/>
        <v>#REF!</v>
      </c>
      <c r="M56" s="30"/>
      <c r="N56" s="71"/>
      <c r="O56" s="72"/>
      <c r="P56" s="72"/>
      <c r="Q56" s="73"/>
      <c r="R56" s="44"/>
    </row>
    <row r="57" spans="1:20" ht="9" customHeight="1">
      <c r="A57" s="10">
        <v>52</v>
      </c>
      <c r="B57" s="133"/>
      <c r="C57" s="24" t="s">
        <v>71</v>
      </c>
      <c r="D57" s="15"/>
      <c r="E57" s="29" t="e">
        <f>#REF!+#REF!+#REF!+#REF!+#REF!+#REF!+#REF!+#REF!+#REF!+#REF!+#REF!+#REF!+#REF!+#REF!+#REF!+#REF!+#REF!+#REF!+#REF!+#REF!+#REF!+#REF!+#REF!+#REF!+#REF!+#REF!+#REF!+#REF!+#REF!+#REF!+#REF!</f>
        <v>#REF!</v>
      </c>
      <c r="F57" s="29" t="e">
        <f>#REF!+#REF!+#REF!+#REF!+#REF!+#REF!+#REF!+#REF!+#REF!+#REF!+#REF!+#REF!+#REF!+#REF!+#REF!+#REF!+#REF!+#REF!+#REF!+#REF!+#REF!+#REF!+#REF!+#REF!+#REF!+#REF!+#REF!+#REF!+#REF!+#REF!+#REF!</f>
        <v>#REF!</v>
      </c>
      <c r="G57" s="15" t="e">
        <f t="shared" si="0"/>
        <v>#REF!</v>
      </c>
      <c r="H57" s="29" t="e">
        <f>#REF!+#REF!+#REF!+#REF!+#REF!+#REF!+#REF!+#REF!+#REF!+#REF!+#REF!+#REF!+#REF!+#REF!+#REF!+#REF!+#REF!+#REF!+#REF!+#REF!+#REF!+#REF!+#REF!+#REF!+#REF!+#REF!+#REF!+#REF!+#REF!+#REF!+#REF!</f>
        <v>#REF!</v>
      </c>
      <c r="I57" s="29" t="e">
        <f>#REF!+#REF!+#REF!+#REF!+#REF!+#REF!+#REF!+#REF!+#REF!+#REF!+#REF!+#REF!+#REF!+#REF!+#REF!+#REF!+#REF!+#REF!+#REF!+#REF!+#REF!+#REF!+#REF!+#REF!+#REF!+#REF!+#REF!+#REF!+#REF!+#REF!+#REF!</f>
        <v>#REF!</v>
      </c>
      <c r="J57" s="15" t="e">
        <f t="shared" si="1"/>
        <v>#REF!</v>
      </c>
      <c r="K57" s="15">
        <v>148</v>
      </c>
      <c r="L57" s="52" t="e">
        <f t="shared" si="2"/>
        <v>#REF!</v>
      </c>
      <c r="M57" s="30"/>
      <c r="N57" s="71"/>
      <c r="O57" s="72"/>
      <c r="P57" s="72"/>
      <c r="Q57" s="73"/>
      <c r="R57" s="44"/>
    </row>
    <row r="58" spans="1:20" ht="9" customHeight="1">
      <c r="A58" s="10">
        <v>53</v>
      </c>
      <c r="B58" s="133"/>
      <c r="C58" s="17" t="s">
        <v>53</v>
      </c>
      <c r="D58" s="15"/>
      <c r="E58" s="29" t="e">
        <f>#REF!+#REF!+#REF!+#REF!+#REF!+#REF!+#REF!+#REF!+#REF!+#REF!+#REF!+#REF!+#REF!+#REF!+#REF!+#REF!+#REF!+#REF!+#REF!+#REF!+#REF!+#REF!+#REF!+#REF!+#REF!+#REF!+#REF!+#REF!+#REF!+#REF!+#REF!</f>
        <v>#REF!</v>
      </c>
      <c r="F58" s="29" t="e">
        <f>#REF!+#REF!+#REF!+#REF!+#REF!+#REF!+#REF!+#REF!+#REF!+#REF!+#REF!+#REF!+#REF!+#REF!+#REF!+#REF!+#REF!+#REF!+#REF!+#REF!+#REF!+#REF!+#REF!+#REF!+#REF!+#REF!+#REF!+#REF!+#REF!+#REF!+#REF!</f>
        <v>#REF!</v>
      </c>
      <c r="G58" s="15" t="e">
        <f t="shared" si="0"/>
        <v>#REF!</v>
      </c>
      <c r="H58" s="29" t="e">
        <f>#REF!+#REF!+#REF!+#REF!+#REF!+#REF!+#REF!+#REF!+#REF!+#REF!+#REF!+#REF!+#REF!+#REF!+#REF!+#REF!+#REF!+#REF!+#REF!+#REF!+#REF!+#REF!+#REF!+#REF!+#REF!+#REF!+#REF!+#REF!+#REF!+#REF!+#REF!</f>
        <v>#REF!</v>
      </c>
      <c r="I58" s="29" t="e">
        <f>#REF!+#REF!+#REF!+#REF!+#REF!+#REF!+#REF!+#REF!+#REF!+#REF!+#REF!+#REF!+#REF!+#REF!+#REF!+#REF!+#REF!+#REF!+#REF!+#REF!+#REF!+#REF!+#REF!+#REF!+#REF!+#REF!+#REF!+#REF!+#REF!+#REF!+#REF!</f>
        <v>#REF!</v>
      </c>
      <c r="J58" s="15" t="e">
        <f t="shared" si="1"/>
        <v>#REF!</v>
      </c>
      <c r="K58" s="15">
        <v>-276</v>
      </c>
      <c r="L58" s="15" t="e">
        <f t="shared" si="2"/>
        <v>#REF!</v>
      </c>
      <c r="M58" s="62"/>
      <c r="N58" s="71"/>
      <c r="O58" s="72"/>
      <c r="P58" s="72"/>
      <c r="Q58" s="73"/>
      <c r="R58" s="44"/>
    </row>
    <row r="59" spans="1:20" ht="9" customHeight="1">
      <c r="A59" s="10">
        <v>54</v>
      </c>
      <c r="B59" s="133"/>
      <c r="C59" s="17" t="s">
        <v>54</v>
      </c>
      <c r="D59" s="15"/>
      <c r="E59" s="29" t="e">
        <f>#REF!+#REF!+#REF!+#REF!+#REF!+#REF!+#REF!+#REF!+#REF!+#REF!+#REF!+#REF!+#REF!+#REF!+#REF!+#REF!+#REF!+#REF!+#REF!+#REF!+#REF!+#REF!+#REF!+#REF!+#REF!+#REF!+#REF!+#REF!+#REF!+#REF!+#REF!</f>
        <v>#REF!</v>
      </c>
      <c r="F59" s="29" t="e">
        <f>#REF!+#REF!+#REF!+#REF!+#REF!+#REF!+#REF!+#REF!+#REF!+#REF!+#REF!+#REF!+#REF!+#REF!+#REF!+#REF!+#REF!+#REF!+#REF!+#REF!+#REF!+#REF!+#REF!+#REF!+#REF!+#REF!+#REF!+#REF!+#REF!+#REF!+#REF!</f>
        <v>#REF!</v>
      </c>
      <c r="G59" s="15" t="e">
        <f t="shared" si="0"/>
        <v>#REF!</v>
      </c>
      <c r="H59" s="29" t="e">
        <f>#REF!+#REF!+#REF!+#REF!+#REF!+#REF!+#REF!+#REF!+#REF!+#REF!+#REF!+#REF!+#REF!+#REF!+#REF!+#REF!+#REF!+#REF!+#REF!+#REF!+#REF!+#REF!+#REF!+#REF!+#REF!+#REF!+#REF!+#REF!+#REF!+#REF!+#REF!</f>
        <v>#REF!</v>
      </c>
      <c r="I59" s="29" t="e">
        <f>#REF!+#REF!+#REF!+#REF!+#REF!+#REF!+#REF!+#REF!+#REF!+#REF!+#REF!+#REF!+#REF!+#REF!+#REF!+#REF!+#REF!+#REF!+#REF!+#REF!+#REF!+#REF!+#REF!+#REF!+#REF!+#REF!+#REF!+#REF!+#REF!+#REF!+#REF!</f>
        <v>#REF!</v>
      </c>
      <c r="J59" s="15" t="e">
        <f t="shared" si="1"/>
        <v>#REF!</v>
      </c>
      <c r="K59" s="52">
        <v>-190</v>
      </c>
      <c r="L59" s="52" t="e">
        <f t="shared" si="2"/>
        <v>#REF!</v>
      </c>
      <c r="M59" s="30"/>
      <c r="N59" s="71"/>
      <c r="O59" s="72"/>
      <c r="P59" s="72"/>
      <c r="Q59" s="73"/>
      <c r="R59" s="44"/>
    </row>
    <row r="60" spans="1:20" ht="9" customHeight="1">
      <c r="A60" s="10">
        <v>55</v>
      </c>
      <c r="B60" s="133"/>
      <c r="C60" s="17" t="s">
        <v>102</v>
      </c>
      <c r="D60" s="15"/>
      <c r="E60" s="29" t="e">
        <f>#REF!+#REF!+#REF!+#REF!+#REF!+#REF!+#REF!+#REF!+#REF!+#REF!+#REF!+#REF!+#REF!+#REF!+#REF!+#REF!+#REF!+#REF!+#REF!+#REF!+#REF!+#REF!+#REF!+#REF!+#REF!+#REF!+#REF!+#REF!+#REF!+#REF!+#REF!</f>
        <v>#REF!</v>
      </c>
      <c r="F60" s="29" t="e">
        <f>#REF!+#REF!+#REF!+#REF!+#REF!+#REF!+#REF!+#REF!+#REF!+#REF!+#REF!+#REF!+#REF!+#REF!+#REF!+#REF!+#REF!+#REF!+#REF!+#REF!+#REF!+#REF!+#REF!+#REF!+#REF!+#REF!+#REF!+#REF!+#REF!+#REF!+#REF!</f>
        <v>#REF!</v>
      </c>
      <c r="G60" s="15" t="e">
        <f t="shared" si="0"/>
        <v>#REF!</v>
      </c>
      <c r="H60" s="29" t="e">
        <f>#REF!+#REF!+#REF!+#REF!+#REF!+#REF!+#REF!+#REF!+#REF!+#REF!+#REF!+#REF!+#REF!+#REF!+#REF!+#REF!+#REF!+#REF!+#REF!+#REF!+#REF!+#REF!+#REF!+#REF!+#REF!+#REF!+#REF!+#REF!+#REF!+#REF!+#REF!</f>
        <v>#REF!</v>
      </c>
      <c r="I60" s="29" t="e">
        <f>#REF!+#REF!+#REF!+#REF!+#REF!+#REF!+#REF!+#REF!+#REF!+#REF!+#REF!+#REF!+#REF!+#REF!+#REF!+#REF!+#REF!+#REF!+#REF!+#REF!+#REF!+#REF!+#REF!+#REF!+#REF!+#REF!+#REF!+#REF!+#REF!+#REF!+#REF!</f>
        <v>#REF!</v>
      </c>
      <c r="J60" s="15" t="e">
        <f t="shared" si="1"/>
        <v>#REF!</v>
      </c>
      <c r="K60" s="15">
        <v>65</v>
      </c>
      <c r="L60" s="52" t="e">
        <f t="shared" si="2"/>
        <v>#REF!</v>
      </c>
      <c r="M60" s="31"/>
      <c r="N60" s="71"/>
      <c r="O60" s="72"/>
      <c r="P60" s="72"/>
      <c r="Q60" s="73"/>
      <c r="R60" s="44"/>
    </row>
    <row r="61" spans="1:20" ht="9" customHeight="1">
      <c r="A61" s="10">
        <v>56</v>
      </c>
      <c r="B61" s="133"/>
      <c r="C61" s="17" t="s">
        <v>95</v>
      </c>
      <c r="D61" s="15"/>
      <c r="E61" s="29" t="e">
        <f>#REF!+#REF!+#REF!+#REF!+#REF!+#REF!+#REF!+#REF!+#REF!+#REF!+#REF!+#REF!+#REF!+#REF!+#REF!+#REF!+#REF!+#REF!+#REF!+#REF!+#REF!+#REF!+#REF!+#REF!+#REF!+#REF!+#REF!+#REF!+#REF!+#REF!+#REF!</f>
        <v>#REF!</v>
      </c>
      <c r="F61" s="29" t="e">
        <f>#REF!+#REF!+#REF!+#REF!+#REF!+#REF!+#REF!+#REF!+#REF!+#REF!+#REF!+#REF!+#REF!+#REF!+#REF!+#REF!+#REF!+#REF!+#REF!+#REF!+#REF!+#REF!+#REF!+#REF!+#REF!+#REF!+#REF!+#REF!+#REF!+#REF!+#REF!</f>
        <v>#REF!</v>
      </c>
      <c r="G61" s="15" t="e">
        <f t="shared" si="0"/>
        <v>#REF!</v>
      </c>
      <c r="H61" s="29" t="e">
        <f>#REF!+#REF!+#REF!+#REF!+#REF!+#REF!+#REF!+#REF!+#REF!+#REF!+#REF!+#REF!+#REF!+#REF!+#REF!+#REF!+#REF!+#REF!+#REF!+#REF!+#REF!+#REF!+#REF!+#REF!+#REF!+#REF!+#REF!+#REF!+#REF!+#REF!+#REF!</f>
        <v>#REF!</v>
      </c>
      <c r="I61" s="29" t="e">
        <f>#REF!+#REF!+#REF!+#REF!+#REF!+#REF!+#REF!+#REF!+#REF!+#REF!+#REF!+#REF!+#REF!+#REF!+#REF!+#REF!+#REF!+#REF!+#REF!+#REF!+#REF!+#REF!+#REF!+#REF!+#REF!+#REF!+#REF!+#REF!+#REF!+#REF!+#REF!</f>
        <v>#REF!</v>
      </c>
      <c r="J61" s="15" t="e">
        <f t="shared" si="1"/>
        <v>#REF!</v>
      </c>
      <c r="K61" s="15">
        <v>11</v>
      </c>
      <c r="L61" s="52" t="e">
        <f t="shared" si="2"/>
        <v>#REF!</v>
      </c>
      <c r="M61" s="31"/>
      <c r="N61" s="71"/>
      <c r="O61" s="72"/>
      <c r="P61" s="72"/>
      <c r="Q61" s="73"/>
      <c r="R61" s="43"/>
    </row>
    <row r="62" spans="1:20" ht="9" customHeight="1">
      <c r="A62" s="10">
        <v>57</v>
      </c>
      <c r="B62" s="133"/>
      <c r="C62" s="17" t="s">
        <v>55</v>
      </c>
      <c r="D62" s="15"/>
      <c r="E62" s="29" t="e">
        <f>#REF!+#REF!+#REF!+#REF!+#REF!+#REF!+#REF!+#REF!+#REF!+#REF!+#REF!+#REF!+#REF!+#REF!+#REF!+#REF!+#REF!+#REF!+#REF!+#REF!+#REF!+#REF!+#REF!+#REF!+#REF!+#REF!+#REF!+#REF!+#REF!+#REF!+#REF!</f>
        <v>#REF!</v>
      </c>
      <c r="F62" s="29" t="e">
        <f>#REF!+#REF!+#REF!+#REF!+#REF!+#REF!+#REF!+#REF!+#REF!+#REF!+#REF!+#REF!+#REF!+#REF!+#REF!+#REF!+#REF!+#REF!+#REF!+#REF!+#REF!+#REF!+#REF!+#REF!+#REF!+#REF!+#REF!+#REF!+#REF!+#REF!+#REF!</f>
        <v>#REF!</v>
      </c>
      <c r="G62" s="15" t="e">
        <f t="shared" si="0"/>
        <v>#REF!</v>
      </c>
      <c r="H62" s="29" t="e">
        <f>#REF!+#REF!+#REF!+#REF!+#REF!+#REF!+#REF!+#REF!+#REF!+#REF!+#REF!+#REF!+#REF!+#REF!+#REF!+#REF!+#REF!+#REF!+#REF!+#REF!+#REF!+#REF!+#REF!+#REF!+#REF!+#REF!+#REF!+#REF!+#REF!+#REF!+#REF!</f>
        <v>#REF!</v>
      </c>
      <c r="I62" s="29" t="e">
        <f>#REF!+#REF!+#REF!+#REF!+#REF!+#REF!+#REF!+#REF!+#REF!+#REF!+#REF!+#REF!+#REF!+#REF!+#REF!+#REF!+#REF!+#REF!+#REF!+#REF!+#REF!+#REF!+#REF!+#REF!+#REF!+#REF!+#REF!+#REF!+#REF!+#REF!+#REF!</f>
        <v>#REF!</v>
      </c>
      <c r="J62" s="15" t="e">
        <f t="shared" si="1"/>
        <v>#REF!</v>
      </c>
      <c r="K62" s="15"/>
      <c r="L62" s="15" t="e">
        <f t="shared" si="2"/>
        <v>#REF!</v>
      </c>
      <c r="M62" s="62"/>
      <c r="N62" s="71"/>
      <c r="O62" s="72"/>
      <c r="P62" s="72"/>
      <c r="Q62" s="73"/>
      <c r="R62" s="43"/>
      <c r="S62" s="13"/>
    </row>
    <row r="63" spans="1:20" ht="9" customHeight="1">
      <c r="A63" s="10">
        <v>58</v>
      </c>
      <c r="B63" s="133"/>
      <c r="C63" s="17" t="s">
        <v>56</v>
      </c>
      <c r="D63" s="15"/>
      <c r="E63" s="29" t="e">
        <f>#REF!+#REF!+#REF!+#REF!+#REF!+#REF!+#REF!+#REF!+#REF!+#REF!+#REF!+#REF!+#REF!+#REF!+#REF!+#REF!+#REF!+#REF!+#REF!+#REF!+#REF!+#REF!+#REF!+#REF!+#REF!+#REF!+#REF!+#REF!+#REF!+#REF!+#REF!</f>
        <v>#REF!</v>
      </c>
      <c r="F63" s="29" t="e">
        <f>#REF!+#REF!+#REF!+#REF!+#REF!+#REF!+#REF!+#REF!+#REF!+#REF!+#REF!+#REF!+#REF!+#REF!+#REF!+#REF!+#REF!+#REF!+#REF!+#REF!+#REF!+#REF!+#REF!+#REF!+#REF!+#REF!+#REF!+#REF!+#REF!+#REF!+#REF!</f>
        <v>#REF!</v>
      </c>
      <c r="G63" s="15" t="e">
        <f t="shared" si="0"/>
        <v>#REF!</v>
      </c>
      <c r="H63" s="29" t="e">
        <f>#REF!+#REF!+#REF!+#REF!+#REF!+#REF!+#REF!+#REF!+#REF!+#REF!+#REF!+#REF!+#REF!+#REF!+#REF!+#REF!+#REF!+#REF!+#REF!+#REF!+#REF!+#REF!+#REF!+#REF!+#REF!+#REF!+#REF!+#REF!+#REF!+#REF!+#REF!</f>
        <v>#REF!</v>
      </c>
      <c r="I63" s="29" t="e">
        <f>#REF!+#REF!+#REF!+#REF!+#REF!+#REF!+#REF!+#REF!+#REF!+#REF!+#REF!+#REF!+#REF!+#REF!+#REF!+#REF!+#REF!+#REF!+#REF!+#REF!+#REF!+#REF!+#REF!+#REF!+#REF!+#REF!+#REF!+#REF!+#REF!+#REF!+#REF!</f>
        <v>#REF!</v>
      </c>
      <c r="J63" s="15" t="e">
        <f t="shared" si="1"/>
        <v>#REF!</v>
      </c>
      <c r="K63" s="15">
        <v>-26.5</v>
      </c>
      <c r="L63" s="52" t="e">
        <f t="shared" si="2"/>
        <v>#REF!</v>
      </c>
      <c r="M63" s="31"/>
      <c r="N63" s="71"/>
      <c r="O63" s="72"/>
      <c r="P63" s="72"/>
      <c r="Q63" s="73"/>
      <c r="R63" s="43"/>
      <c r="S63" s="13"/>
    </row>
    <row r="64" spans="1:20" ht="9" customHeight="1">
      <c r="A64" s="10">
        <v>59</v>
      </c>
      <c r="B64" s="133"/>
      <c r="C64" s="17" t="s">
        <v>57</v>
      </c>
      <c r="D64" s="23"/>
      <c r="E64" s="29" t="e">
        <f>#REF!+#REF!+#REF!+#REF!+#REF!+#REF!+#REF!+#REF!+#REF!+#REF!+#REF!+#REF!+#REF!+#REF!+#REF!+#REF!+#REF!+#REF!+#REF!+#REF!+#REF!+#REF!+#REF!+#REF!+#REF!+#REF!+#REF!+#REF!+#REF!+#REF!+#REF!</f>
        <v>#REF!</v>
      </c>
      <c r="F64" s="29" t="e">
        <f>#REF!+#REF!+#REF!+#REF!+#REF!+#REF!+#REF!+#REF!+#REF!+#REF!+#REF!+#REF!+#REF!+#REF!+#REF!+#REF!+#REF!+#REF!+#REF!+#REF!+#REF!+#REF!+#REF!+#REF!+#REF!+#REF!+#REF!+#REF!+#REF!+#REF!+#REF!</f>
        <v>#REF!</v>
      </c>
      <c r="G64" s="23" t="e">
        <f t="shared" si="0"/>
        <v>#REF!</v>
      </c>
      <c r="H64" s="29" t="e">
        <f>#REF!+#REF!+#REF!+#REF!+#REF!+#REF!+#REF!+#REF!+#REF!+#REF!+#REF!+#REF!+#REF!+#REF!+#REF!+#REF!+#REF!+#REF!+#REF!+#REF!+#REF!+#REF!+#REF!+#REF!+#REF!+#REF!+#REF!+#REF!+#REF!+#REF!+#REF!</f>
        <v>#REF!</v>
      </c>
      <c r="I64" s="29" t="e">
        <f>#REF!+#REF!+#REF!+#REF!+#REF!+#REF!+#REF!+#REF!+#REF!+#REF!+#REF!+#REF!+#REF!+#REF!+#REF!+#REF!+#REF!+#REF!+#REF!+#REF!+#REF!+#REF!+#REF!+#REF!+#REF!+#REF!+#REF!+#REF!+#REF!+#REF!+#REF!</f>
        <v>#REF!</v>
      </c>
      <c r="J64" s="15" t="e">
        <f t="shared" si="1"/>
        <v>#REF!</v>
      </c>
      <c r="K64" s="23">
        <v>-125</v>
      </c>
      <c r="L64" s="15" t="e">
        <f t="shared" si="2"/>
        <v>#REF!</v>
      </c>
      <c r="M64" s="63"/>
      <c r="N64" s="71"/>
      <c r="O64" s="72"/>
      <c r="P64" s="72"/>
      <c r="Q64" s="73"/>
      <c r="R64" s="43"/>
      <c r="S64" s="13"/>
    </row>
    <row r="65" spans="1:19" ht="9" customHeight="1">
      <c r="A65" s="10">
        <v>60</v>
      </c>
      <c r="B65" s="133"/>
      <c r="C65" s="17" t="s">
        <v>58</v>
      </c>
      <c r="D65" s="16"/>
      <c r="E65" s="29" t="e">
        <f>#REF!+#REF!+#REF!+#REF!+#REF!+#REF!+#REF!+#REF!+#REF!+#REF!+#REF!+#REF!+#REF!+#REF!+#REF!+#REF!+#REF!+#REF!+#REF!+#REF!+#REF!+#REF!+#REF!+#REF!+#REF!+#REF!+#REF!+#REF!+#REF!+#REF!+#REF!</f>
        <v>#REF!</v>
      </c>
      <c r="F65" s="29" t="e">
        <f>#REF!+#REF!+#REF!+#REF!+#REF!+#REF!+#REF!+#REF!+#REF!+#REF!+#REF!+#REF!+#REF!+#REF!+#REF!+#REF!+#REF!+#REF!+#REF!+#REF!+#REF!+#REF!+#REF!+#REF!+#REF!+#REF!+#REF!+#REF!+#REF!+#REF!+#REF!</f>
        <v>#REF!</v>
      </c>
      <c r="G65" s="16" t="e">
        <f t="shared" si="0"/>
        <v>#REF!</v>
      </c>
      <c r="H65" s="29" t="e">
        <f>#REF!+#REF!+#REF!+#REF!+#REF!+#REF!+#REF!+#REF!+#REF!+#REF!+#REF!+#REF!+#REF!+#REF!+#REF!+#REF!+#REF!+#REF!+#REF!+#REF!+#REF!+#REF!+#REF!+#REF!+#REF!+#REF!+#REF!+#REF!+#REF!+#REF!+#REF!</f>
        <v>#REF!</v>
      </c>
      <c r="I65" s="29" t="e">
        <f>#REF!+#REF!+#REF!+#REF!+#REF!+#REF!+#REF!+#REF!+#REF!+#REF!+#REF!+#REF!+#REF!+#REF!+#REF!+#REF!+#REF!+#REF!+#REF!+#REF!+#REF!+#REF!+#REF!+#REF!+#REF!+#REF!+#REF!+#REF!+#REF!+#REF!+#REF!</f>
        <v>#REF!</v>
      </c>
      <c r="J65" s="15" t="e">
        <f t="shared" si="1"/>
        <v>#REF!</v>
      </c>
      <c r="K65" s="24">
        <v>-600</v>
      </c>
      <c r="L65" s="60" t="e">
        <f t="shared" si="2"/>
        <v>#REF!</v>
      </c>
      <c r="M65" s="32"/>
      <c r="N65" s="71"/>
      <c r="O65" s="72"/>
      <c r="P65" s="72"/>
      <c r="Q65" s="73"/>
      <c r="R65" s="43"/>
      <c r="S65" s="13"/>
    </row>
    <row r="66" spans="1:19" ht="9" customHeight="1">
      <c r="A66" s="10">
        <v>61</v>
      </c>
      <c r="B66" s="133"/>
      <c r="C66" s="17" t="s">
        <v>22</v>
      </c>
      <c r="D66" s="16"/>
      <c r="E66" s="29" t="e">
        <f>#REF!+#REF!+#REF!+#REF!+#REF!+#REF!+#REF!+#REF!+#REF!+#REF!+#REF!+#REF!+#REF!+#REF!+#REF!+#REF!+#REF!+#REF!+#REF!+#REF!+#REF!+#REF!+#REF!+#REF!+#REF!+#REF!+#REF!+#REF!+#REF!+#REF!+#REF!</f>
        <v>#REF!</v>
      </c>
      <c r="F66" s="29" t="e">
        <f>#REF!+#REF!+#REF!+#REF!+#REF!+#REF!+#REF!+#REF!+#REF!+#REF!+#REF!+#REF!+#REF!+#REF!+#REF!+#REF!+#REF!+#REF!+#REF!+#REF!+#REF!+#REF!+#REF!+#REF!+#REF!+#REF!+#REF!+#REF!+#REF!+#REF!+#REF!</f>
        <v>#REF!</v>
      </c>
      <c r="G66" s="16" t="e">
        <f t="shared" si="0"/>
        <v>#REF!</v>
      </c>
      <c r="H66" s="29" t="e">
        <f>#REF!+#REF!+#REF!+#REF!+#REF!+#REF!+#REF!+#REF!+#REF!+#REF!+#REF!+#REF!+#REF!+#REF!+#REF!+#REF!+#REF!+#REF!+#REF!+#REF!+#REF!+#REF!+#REF!+#REF!+#REF!+#REF!+#REF!+#REF!+#REF!+#REF!+#REF!</f>
        <v>#REF!</v>
      </c>
      <c r="I66" s="29" t="e">
        <f>#REF!+#REF!+#REF!+#REF!+#REF!+#REF!+#REF!+#REF!+#REF!+#REF!+#REF!+#REF!+#REF!+#REF!+#REF!+#REF!+#REF!+#REF!+#REF!+#REF!+#REF!+#REF!+#REF!+#REF!+#REF!+#REF!+#REF!+#REF!+#REF!+#REF!+#REF!</f>
        <v>#REF!</v>
      </c>
      <c r="J66" s="15" t="e">
        <f t="shared" si="1"/>
        <v>#REF!</v>
      </c>
      <c r="K66" s="25">
        <v>85</v>
      </c>
      <c r="L66" s="61" t="e">
        <f t="shared" si="2"/>
        <v>#REF!</v>
      </c>
      <c r="M66" s="32"/>
      <c r="N66" s="71"/>
      <c r="O66" s="72"/>
      <c r="P66" s="72"/>
      <c r="Q66" s="73"/>
      <c r="R66" s="43"/>
      <c r="S66" s="13"/>
    </row>
    <row r="67" spans="1:19" ht="9" customHeight="1">
      <c r="A67" s="10">
        <v>62</v>
      </c>
      <c r="B67" s="133"/>
      <c r="C67" s="17" t="s">
        <v>59</v>
      </c>
      <c r="D67" s="16"/>
      <c r="E67" s="29" t="e">
        <f>#REF!+#REF!+#REF!+#REF!+#REF!+#REF!+#REF!+#REF!+#REF!+#REF!+#REF!+#REF!+#REF!+#REF!+#REF!+#REF!+#REF!+#REF!+#REF!+#REF!+#REF!+#REF!+#REF!+#REF!+#REF!+#REF!+#REF!+#REF!+#REF!+#REF!+#REF!</f>
        <v>#REF!</v>
      </c>
      <c r="F67" s="29" t="e">
        <f>#REF!+#REF!+#REF!+#REF!+#REF!+#REF!+#REF!+#REF!+#REF!+#REF!+#REF!+#REF!+#REF!+#REF!+#REF!+#REF!+#REF!+#REF!+#REF!+#REF!+#REF!+#REF!+#REF!+#REF!+#REF!+#REF!+#REF!+#REF!+#REF!+#REF!+#REF!</f>
        <v>#REF!</v>
      </c>
      <c r="G67" s="16" t="e">
        <f t="shared" si="0"/>
        <v>#REF!</v>
      </c>
      <c r="H67" s="29" t="e">
        <f>#REF!+#REF!+#REF!+#REF!+#REF!+#REF!+#REF!+#REF!+#REF!+#REF!+#REF!+#REF!+#REF!+#REF!+#REF!+#REF!+#REF!+#REF!+#REF!+#REF!+#REF!+#REF!+#REF!+#REF!+#REF!+#REF!+#REF!+#REF!+#REF!+#REF!+#REF!</f>
        <v>#REF!</v>
      </c>
      <c r="I67" s="29" t="e">
        <f>#REF!+#REF!+#REF!+#REF!+#REF!+#REF!+#REF!+#REF!+#REF!+#REF!+#REF!+#REF!+#REF!+#REF!+#REF!+#REF!+#REF!+#REF!+#REF!+#REF!+#REF!+#REF!+#REF!+#REF!+#REF!+#REF!+#REF!+#REF!+#REF!+#REF!+#REF!</f>
        <v>#REF!</v>
      </c>
      <c r="J67" s="15" t="e">
        <f t="shared" si="1"/>
        <v>#REF!</v>
      </c>
      <c r="K67" s="24">
        <v>100</v>
      </c>
      <c r="L67" s="16" t="e">
        <f t="shared" si="2"/>
        <v>#REF!</v>
      </c>
      <c r="M67" s="64"/>
      <c r="N67" s="71"/>
      <c r="O67" s="72"/>
      <c r="P67" s="72"/>
      <c r="Q67" s="73"/>
      <c r="R67" s="43"/>
      <c r="S67" s="13"/>
    </row>
    <row r="68" spans="1:19" ht="9" customHeight="1">
      <c r="A68" s="10">
        <v>63</v>
      </c>
      <c r="B68" s="133"/>
      <c r="C68" s="17" t="s">
        <v>12</v>
      </c>
      <c r="D68" s="16"/>
      <c r="E68" s="29" t="e">
        <f>#REF!+#REF!+#REF!+#REF!+#REF!+#REF!+#REF!+#REF!+#REF!+#REF!+#REF!+#REF!+#REF!+#REF!+#REF!+#REF!+#REF!+#REF!+#REF!+#REF!+#REF!+#REF!+#REF!+#REF!+#REF!+#REF!+#REF!+#REF!+#REF!+#REF!+#REF!</f>
        <v>#REF!</v>
      </c>
      <c r="F68" s="29" t="e">
        <f>#REF!+#REF!+#REF!+#REF!+#REF!+#REF!+#REF!+#REF!+#REF!+#REF!+#REF!+#REF!+#REF!+#REF!+#REF!+#REF!+#REF!+#REF!+#REF!+#REF!+#REF!+#REF!+#REF!+#REF!+#REF!+#REF!+#REF!+#REF!+#REF!+#REF!+#REF!</f>
        <v>#REF!</v>
      </c>
      <c r="G68" s="16" t="e">
        <f t="shared" si="0"/>
        <v>#REF!</v>
      </c>
      <c r="H68" s="29" t="e">
        <f>#REF!+#REF!+#REF!+#REF!+#REF!+#REF!+#REF!+#REF!+#REF!+#REF!+#REF!+#REF!+#REF!+#REF!+#REF!+#REF!+#REF!+#REF!+#REF!+#REF!+#REF!+#REF!+#REF!+#REF!+#REF!+#REF!+#REF!+#REF!+#REF!+#REF!+#REF!</f>
        <v>#REF!</v>
      </c>
      <c r="I68" s="29" t="e">
        <f>#REF!+#REF!+#REF!+#REF!+#REF!+#REF!+#REF!+#REF!+#REF!+#REF!+#REF!+#REF!+#REF!+#REF!+#REF!+#REF!+#REF!+#REF!+#REF!+#REF!+#REF!+#REF!+#REF!+#REF!+#REF!+#REF!+#REF!+#REF!+#REF!+#REF!+#REF!</f>
        <v>#REF!</v>
      </c>
      <c r="J68" s="15" t="e">
        <f t="shared" si="1"/>
        <v>#REF!</v>
      </c>
      <c r="K68" s="24">
        <v>10</v>
      </c>
      <c r="L68" s="60" t="e">
        <f t="shared" si="2"/>
        <v>#REF!</v>
      </c>
      <c r="M68" s="30"/>
      <c r="N68" s="71"/>
      <c r="O68" s="72"/>
      <c r="P68" s="72"/>
      <c r="Q68" s="73"/>
      <c r="R68" s="43"/>
      <c r="S68" s="13"/>
    </row>
    <row r="69" spans="1:19" ht="9" customHeight="1">
      <c r="A69" s="10">
        <v>64</v>
      </c>
      <c r="B69" s="133"/>
      <c r="C69" s="17" t="s">
        <v>60</v>
      </c>
      <c r="D69" s="16"/>
      <c r="E69" s="29" t="e">
        <f>#REF!+#REF!+#REF!+#REF!+#REF!+#REF!+#REF!+#REF!+#REF!+#REF!+#REF!+#REF!+#REF!+#REF!+#REF!+#REF!+#REF!+#REF!+#REF!+#REF!+#REF!+#REF!+#REF!+#REF!+#REF!+#REF!+#REF!+#REF!+#REF!+#REF!+#REF!</f>
        <v>#REF!</v>
      </c>
      <c r="F69" s="29" t="e">
        <f>#REF!+#REF!+#REF!+#REF!+#REF!+#REF!+#REF!+#REF!+#REF!+#REF!+#REF!+#REF!+#REF!+#REF!+#REF!+#REF!+#REF!+#REF!+#REF!+#REF!+#REF!+#REF!+#REF!+#REF!+#REF!+#REF!+#REF!+#REF!+#REF!+#REF!+#REF!</f>
        <v>#REF!</v>
      </c>
      <c r="G69" s="16" t="e">
        <f t="shared" si="0"/>
        <v>#REF!</v>
      </c>
      <c r="H69" s="29" t="e">
        <f>#REF!+#REF!+#REF!+#REF!+#REF!+#REF!+#REF!+#REF!+#REF!+#REF!+#REF!+#REF!+#REF!+#REF!+#REF!+#REF!+#REF!+#REF!+#REF!+#REF!+#REF!+#REF!+#REF!+#REF!+#REF!+#REF!+#REF!+#REF!+#REF!+#REF!+#REF!</f>
        <v>#REF!</v>
      </c>
      <c r="I69" s="29" t="e">
        <f>#REF!+#REF!+#REF!+#REF!+#REF!+#REF!+#REF!+#REF!+#REF!+#REF!+#REF!+#REF!+#REF!+#REF!+#REF!+#REF!+#REF!+#REF!+#REF!+#REF!+#REF!+#REF!+#REF!+#REF!+#REF!+#REF!+#REF!+#REF!+#REF!+#REF!+#REF!</f>
        <v>#REF!</v>
      </c>
      <c r="J69" s="15" t="e">
        <f t="shared" si="1"/>
        <v>#REF!</v>
      </c>
      <c r="K69" s="24">
        <v>8</v>
      </c>
      <c r="L69" s="60" t="e">
        <f t="shared" si="2"/>
        <v>#REF!</v>
      </c>
      <c r="M69" s="30"/>
      <c r="N69" s="71"/>
      <c r="O69" s="72"/>
      <c r="P69" s="72"/>
      <c r="Q69" s="73"/>
      <c r="R69" s="43"/>
      <c r="S69" s="13"/>
    </row>
    <row r="70" spans="1:19" ht="9" customHeight="1">
      <c r="A70" s="10">
        <v>65</v>
      </c>
      <c r="B70" s="133"/>
      <c r="C70" s="17" t="s">
        <v>61</v>
      </c>
      <c r="D70" s="16"/>
      <c r="E70" s="29" t="e">
        <f>#REF!+#REF!+#REF!+#REF!+#REF!+#REF!+#REF!+#REF!+#REF!+#REF!+#REF!+#REF!+#REF!+#REF!+#REF!+#REF!+#REF!+#REF!+#REF!+#REF!+#REF!+#REF!+#REF!+#REF!+#REF!+#REF!+#REF!+#REF!+#REF!+#REF!+#REF!</f>
        <v>#REF!</v>
      </c>
      <c r="F70" s="29" t="e">
        <f>#REF!+#REF!+#REF!+#REF!+#REF!+#REF!+#REF!+#REF!+#REF!+#REF!+#REF!+#REF!+#REF!+#REF!+#REF!+#REF!+#REF!+#REF!+#REF!+#REF!+#REF!+#REF!+#REF!+#REF!+#REF!+#REF!+#REF!+#REF!+#REF!+#REF!+#REF!</f>
        <v>#REF!</v>
      </c>
      <c r="G70" s="16" t="e">
        <f t="shared" si="0"/>
        <v>#REF!</v>
      </c>
      <c r="H70" s="29" t="e">
        <f>#REF!+#REF!+#REF!+#REF!+#REF!+#REF!+#REF!+#REF!+#REF!+#REF!+#REF!+#REF!+#REF!+#REF!+#REF!+#REF!+#REF!+#REF!+#REF!+#REF!+#REF!+#REF!+#REF!+#REF!+#REF!+#REF!+#REF!+#REF!+#REF!+#REF!+#REF!</f>
        <v>#REF!</v>
      </c>
      <c r="I70" s="29" t="e">
        <f>#REF!+#REF!+#REF!+#REF!+#REF!+#REF!+#REF!+#REF!+#REF!+#REF!+#REF!+#REF!+#REF!+#REF!+#REF!+#REF!+#REF!+#REF!+#REF!+#REF!+#REF!+#REF!+#REF!+#REF!+#REF!+#REF!+#REF!+#REF!+#REF!+#REF!+#REF!</f>
        <v>#REF!</v>
      </c>
      <c r="J70" s="15" t="e">
        <f t="shared" si="1"/>
        <v>#REF!</v>
      </c>
      <c r="K70" s="24">
        <v>-153</v>
      </c>
      <c r="L70" s="60" t="e">
        <f t="shared" si="2"/>
        <v>#REF!</v>
      </c>
      <c r="M70" s="32"/>
      <c r="N70" s="71"/>
      <c r="O70" s="72"/>
      <c r="P70" s="72"/>
      <c r="Q70" s="73"/>
      <c r="R70" s="43"/>
      <c r="S70" s="13"/>
    </row>
    <row r="71" spans="1:19" ht="9" customHeight="1">
      <c r="A71" s="10">
        <v>66</v>
      </c>
      <c r="B71" s="133"/>
      <c r="C71" s="26" t="s">
        <v>83</v>
      </c>
      <c r="D71" s="16"/>
      <c r="E71" s="29" t="e">
        <f>#REF!+#REF!+#REF!+#REF!+#REF!+#REF!+#REF!+#REF!+#REF!+#REF!+#REF!+#REF!+#REF!+#REF!+#REF!+#REF!+#REF!+#REF!+#REF!+#REF!+#REF!+#REF!+#REF!+#REF!+#REF!+#REF!+#REF!+#REF!+#REF!+#REF!+#REF!</f>
        <v>#REF!</v>
      </c>
      <c r="F71" s="29" t="e">
        <f>#REF!+#REF!+#REF!+#REF!+#REF!+#REF!+#REF!+#REF!+#REF!+#REF!+#REF!+#REF!+#REF!+#REF!+#REF!+#REF!+#REF!+#REF!+#REF!+#REF!+#REF!+#REF!+#REF!+#REF!+#REF!+#REF!+#REF!+#REF!+#REF!+#REF!+#REF!</f>
        <v>#REF!</v>
      </c>
      <c r="G71" s="16" t="e">
        <f t="shared" si="0"/>
        <v>#REF!</v>
      </c>
      <c r="H71" s="29" t="e">
        <f>#REF!+#REF!+#REF!+#REF!+#REF!+#REF!+#REF!+#REF!+#REF!+#REF!+#REF!+#REF!+#REF!+#REF!+#REF!+#REF!+#REF!+#REF!+#REF!+#REF!+#REF!+#REF!+#REF!+#REF!+#REF!+#REF!+#REF!+#REF!+#REF!+#REF!+#REF!</f>
        <v>#REF!</v>
      </c>
      <c r="I71" s="29" t="e">
        <f>#REF!+#REF!+#REF!+#REF!+#REF!+#REF!+#REF!+#REF!+#REF!+#REF!+#REF!+#REF!+#REF!+#REF!+#REF!+#REF!+#REF!+#REF!+#REF!+#REF!+#REF!+#REF!+#REF!+#REF!+#REF!+#REF!+#REF!+#REF!+#REF!+#REF!+#REF!</f>
        <v>#REF!</v>
      </c>
      <c r="J71" s="15" t="e">
        <f t="shared" ref="J71:J83" si="3">G71-H71-I71</f>
        <v>#REF!</v>
      </c>
      <c r="K71" s="24">
        <v>-207</v>
      </c>
      <c r="L71" s="16" t="e">
        <f t="shared" si="2"/>
        <v>#REF!</v>
      </c>
      <c r="M71" s="32"/>
      <c r="N71" s="71"/>
      <c r="O71" s="72"/>
      <c r="P71" s="72"/>
      <c r="Q71" s="73"/>
      <c r="R71" s="43"/>
      <c r="S71" s="13"/>
    </row>
    <row r="72" spans="1:19" ht="9" customHeight="1">
      <c r="A72" s="10">
        <v>67</v>
      </c>
      <c r="B72" s="133"/>
      <c r="C72" s="14" t="s">
        <v>62</v>
      </c>
      <c r="D72" s="16"/>
      <c r="E72" s="29" t="e">
        <f>#REF!+#REF!+#REF!+#REF!+#REF!+#REF!+#REF!+#REF!+#REF!+#REF!+#REF!+#REF!+#REF!+#REF!+#REF!+#REF!+#REF!+#REF!+#REF!+#REF!+#REF!+#REF!+#REF!+#REF!+#REF!+#REF!+#REF!+#REF!+#REF!+#REF!+#REF!</f>
        <v>#REF!</v>
      </c>
      <c r="F72" s="29" t="e">
        <f>#REF!+#REF!+#REF!+#REF!+#REF!+#REF!+#REF!+#REF!+#REF!+#REF!+#REF!+#REF!+#REF!+#REF!+#REF!+#REF!+#REF!+#REF!+#REF!+#REF!+#REF!+#REF!+#REF!+#REF!+#REF!+#REF!+#REF!+#REF!+#REF!+#REF!+#REF!</f>
        <v>#REF!</v>
      </c>
      <c r="G72" s="16" t="e">
        <f t="shared" si="0"/>
        <v>#REF!</v>
      </c>
      <c r="H72" s="29" t="e">
        <f>#REF!+#REF!+#REF!+#REF!+#REF!+#REF!+#REF!+#REF!+#REF!+#REF!+#REF!+#REF!+#REF!+#REF!+#REF!+#REF!+#REF!+#REF!+#REF!+#REF!+#REF!+#REF!+#REF!+#REF!+#REF!+#REF!+#REF!+#REF!+#REF!+#REF!+#REF!</f>
        <v>#REF!</v>
      </c>
      <c r="I72" s="29" t="e">
        <f>#REF!+#REF!+#REF!+#REF!+#REF!+#REF!+#REF!+#REF!+#REF!+#REF!+#REF!+#REF!+#REF!+#REF!+#REF!+#REF!+#REF!+#REF!+#REF!+#REF!+#REF!+#REF!+#REF!+#REF!+#REF!+#REF!+#REF!+#REF!+#REF!+#REF!+#REF!</f>
        <v>#REF!</v>
      </c>
      <c r="J72" s="15" t="e">
        <f t="shared" si="3"/>
        <v>#REF!</v>
      </c>
      <c r="K72" s="24">
        <f>-764.18+50</f>
        <v>-714.18</v>
      </c>
      <c r="L72" s="16" t="e">
        <f t="shared" si="2"/>
        <v>#REF!</v>
      </c>
      <c r="M72" s="65"/>
      <c r="N72" s="71"/>
      <c r="O72" s="72"/>
      <c r="P72" s="72"/>
      <c r="Q72" s="73"/>
      <c r="R72" s="43"/>
      <c r="S72" s="13"/>
    </row>
    <row r="73" spans="1:19" ht="9" customHeight="1">
      <c r="A73" s="10">
        <v>68</v>
      </c>
      <c r="B73" s="133"/>
      <c r="C73" s="14" t="s">
        <v>24</v>
      </c>
      <c r="D73" s="16"/>
      <c r="E73" s="29" t="e">
        <f>#REF!+#REF!+#REF!+#REF!+#REF!+#REF!+#REF!+#REF!+#REF!+#REF!+#REF!+#REF!+#REF!+#REF!+#REF!+#REF!+#REF!+#REF!+#REF!+#REF!+#REF!+#REF!+#REF!+#REF!+#REF!+#REF!+#REF!+#REF!+#REF!+#REF!+#REF!</f>
        <v>#REF!</v>
      </c>
      <c r="F73" s="29" t="e">
        <f>#REF!+#REF!+#REF!+#REF!+#REF!+#REF!+#REF!+#REF!+#REF!+#REF!+#REF!+#REF!+#REF!+#REF!+#REF!+#REF!+#REF!+#REF!+#REF!+#REF!+#REF!+#REF!+#REF!+#REF!+#REF!+#REF!+#REF!+#REF!+#REF!+#REF!+#REF!</f>
        <v>#REF!</v>
      </c>
      <c r="G73" s="16" t="e">
        <f t="shared" si="0"/>
        <v>#REF!</v>
      </c>
      <c r="H73" s="29" t="e">
        <f>#REF!+#REF!+#REF!+#REF!+#REF!+#REF!+#REF!+#REF!+#REF!+#REF!+#REF!+#REF!+#REF!+#REF!+#REF!+#REF!+#REF!+#REF!+#REF!+#REF!+#REF!+#REF!+#REF!+#REF!+#REF!+#REF!+#REF!+#REF!+#REF!+#REF!+#REF!</f>
        <v>#REF!</v>
      </c>
      <c r="I73" s="29" t="e">
        <f>#REF!+#REF!+#REF!+#REF!+#REF!+#REF!+#REF!+#REF!+#REF!+#REF!+#REF!+#REF!+#REF!+#REF!+#REF!+#REF!+#REF!+#REF!+#REF!+#REF!+#REF!+#REF!+#REF!+#REF!+#REF!+#REF!+#REF!+#REF!+#REF!+#REF!+#REF!</f>
        <v>#REF!</v>
      </c>
      <c r="J73" s="15" t="e">
        <f t="shared" si="3"/>
        <v>#REF!</v>
      </c>
      <c r="K73" s="24">
        <v>0</v>
      </c>
      <c r="L73" s="16" t="e">
        <f t="shared" si="2"/>
        <v>#REF!</v>
      </c>
      <c r="M73" s="64"/>
      <c r="N73" s="71"/>
      <c r="O73" s="72"/>
      <c r="P73" s="72"/>
      <c r="Q73" s="73"/>
      <c r="R73" s="43"/>
      <c r="S73" s="13"/>
    </row>
    <row r="74" spans="1:19" ht="9" customHeight="1">
      <c r="A74" s="10">
        <v>69</v>
      </c>
      <c r="B74" s="133"/>
      <c r="C74" s="24" t="s">
        <v>63</v>
      </c>
      <c r="D74" s="16"/>
      <c r="E74" s="29" t="e">
        <f>#REF!+#REF!+#REF!+#REF!+#REF!+#REF!+#REF!+#REF!+#REF!+#REF!+#REF!+#REF!+#REF!+#REF!+#REF!+#REF!+#REF!+#REF!+#REF!+#REF!+#REF!+#REF!+#REF!+#REF!+#REF!+#REF!+#REF!+#REF!+#REF!+#REF!+#REF!</f>
        <v>#REF!</v>
      </c>
      <c r="F74" s="29" t="e">
        <f>#REF!+#REF!+#REF!+#REF!+#REF!+#REF!+#REF!+#REF!+#REF!+#REF!+#REF!+#REF!+#REF!+#REF!+#REF!+#REF!+#REF!+#REF!+#REF!+#REF!+#REF!+#REF!+#REF!+#REF!+#REF!+#REF!+#REF!+#REF!+#REF!+#REF!+#REF!</f>
        <v>#REF!</v>
      </c>
      <c r="G74" s="16" t="e">
        <f t="shared" si="0"/>
        <v>#REF!</v>
      </c>
      <c r="H74" s="29" t="e">
        <f>#REF!+#REF!+#REF!+#REF!+#REF!+#REF!+#REF!+#REF!+#REF!+#REF!+#REF!+#REF!+#REF!+#REF!+#REF!+#REF!+#REF!+#REF!+#REF!+#REF!+#REF!+#REF!+#REF!+#REF!+#REF!+#REF!+#REF!+#REF!+#REF!+#REF!+#REF!</f>
        <v>#REF!</v>
      </c>
      <c r="I74" s="29" t="e">
        <f>#REF!+#REF!+#REF!+#REF!+#REF!+#REF!+#REF!+#REF!+#REF!+#REF!+#REF!+#REF!+#REF!+#REF!+#REF!+#REF!+#REF!+#REF!+#REF!+#REF!+#REF!+#REF!+#REF!+#REF!+#REF!+#REF!+#REF!+#REF!+#REF!+#REF!+#REF!</f>
        <v>#REF!</v>
      </c>
      <c r="J74" s="15" t="e">
        <f t="shared" si="3"/>
        <v>#REF!</v>
      </c>
      <c r="K74" s="24">
        <v>0</v>
      </c>
      <c r="L74" s="16" t="e">
        <f t="shared" si="2"/>
        <v>#REF!</v>
      </c>
      <c r="M74" s="32"/>
      <c r="N74" s="71"/>
      <c r="O74" s="72"/>
      <c r="P74" s="72"/>
      <c r="Q74" s="73"/>
      <c r="R74" s="43"/>
      <c r="S74" s="13"/>
    </row>
    <row r="75" spans="1:19" ht="9" customHeight="1">
      <c r="A75" s="10">
        <v>70</v>
      </c>
      <c r="B75" s="133"/>
      <c r="C75" s="24" t="s">
        <v>25</v>
      </c>
      <c r="D75" s="16"/>
      <c r="E75" s="29" t="e">
        <f>#REF!+#REF!+#REF!+#REF!+#REF!+#REF!+#REF!+#REF!+#REF!+#REF!+#REF!+#REF!+#REF!+#REF!+#REF!+#REF!+#REF!+#REF!+#REF!+#REF!+#REF!+#REF!+#REF!+#REF!+#REF!+#REF!+#REF!+#REF!+#REF!+#REF!+#REF!</f>
        <v>#REF!</v>
      </c>
      <c r="F75" s="29" t="e">
        <f>#REF!+#REF!+#REF!+#REF!+#REF!+#REF!+#REF!+#REF!+#REF!+#REF!+#REF!+#REF!+#REF!+#REF!+#REF!+#REF!+#REF!+#REF!+#REF!+#REF!+#REF!+#REF!+#REF!+#REF!+#REF!+#REF!+#REF!+#REF!+#REF!+#REF!+#REF!</f>
        <v>#REF!</v>
      </c>
      <c r="G75" s="16" t="e">
        <f t="shared" si="0"/>
        <v>#REF!</v>
      </c>
      <c r="H75" s="29" t="e">
        <f>#REF!+#REF!+#REF!+#REF!+#REF!+#REF!+#REF!+#REF!+#REF!+#REF!+#REF!+#REF!+#REF!+#REF!+#REF!+#REF!+#REF!+#REF!+#REF!+#REF!+#REF!+#REF!+#REF!+#REF!+#REF!+#REF!+#REF!+#REF!+#REF!+#REF!+#REF!</f>
        <v>#REF!</v>
      </c>
      <c r="I75" s="29" t="e">
        <f>#REF!+#REF!+#REF!+#REF!+#REF!+#REF!+#REF!+#REF!+#REF!+#REF!+#REF!+#REF!+#REF!+#REF!+#REF!+#REF!+#REF!+#REF!+#REF!+#REF!+#REF!+#REF!+#REF!+#REF!+#REF!+#REF!+#REF!+#REF!+#REF!+#REF!+#REF!</f>
        <v>#REF!</v>
      </c>
      <c r="J75" s="15" t="e">
        <f t="shared" si="3"/>
        <v>#REF!</v>
      </c>
      <c r="K75" s="24">
        <v>-165</v>
      </c>
      <c r="L75" s="16" t="e">
        <f t="shared" si="2"/>
        <v>#REF!</v>
      </c>
      <c r="M75" s="65"/>
      <c r="N75" s="71"/>
      <c r="O75" s="72"/>
      <c r="P75" s="72"/>
      <c r="Q75" s="73"/>
      <c r="R75" s="43"/>
      <c r="S75" s="13"/>
    </row>
    <row r="76" spans="1:19" ht="9" customHeight="1">
      <c r="A76" s="10">
        <v>71</v>
      </c>
      <c r="B76" s="133"/>
      <c r="C76" s="24" t="s">
        <v>85</v>
      </c>
      <c r="D76" s="16"/>
      <c r="E76" s="29" t="e">
        <f>#REF!+#REF!+#REF!+#REF!+#REF!+#REF!+#REF!+#REF!+#REF!+#REF!+#REF!+#REF!+#REF!+#REF!+#REF!+#REF!+#REF!+#REF!+#REF!+#REF!+#REF!+#REF!+#REF!+#REF!+#REF!+#REF!+#REF!+#REF!+#REF!+#REF!+#REF!</f>
        <v>#REF!</v>
      </c>
      <c r="F76" s="29" t="e">
        <f>#REF!+#REF!+#REF!+#REF!+#REF!+#REF!+#REF!+#REF!+#REF!+#REF!+#REF!+#REF!+#REF!+#REF!+#REF!+#REF!+#REF!+#REF!+#REF!+#REF!+#REF!+#REF!+#REF!+#REF!+#REF!+#REF!+#REF!+#REF!+#REF!+#REF!+#REF!</f>
        <v>#REF!</v>
      </c>
      <c r="G76" s="16" t="e">
        <f t="shared" si="0"/>
        <v>#REF!</v>
      </c>
      <c r="H76" s="29" t="e">
        <f>#REF!+#REF!+#REF!+#REF!+#REF!+#REF!+#REF!+#REF!+#REF!+#REF!+#REF!+#REF!+#REF!+#REF!+#REF!+#REF!+#REF!+#REF!+#REF!+#REF!+#REF!+#REF!+#REF!+#REF!+#REF!+#REF!+#REF!+#REF!+#REF!+#REF!+#REF!</f>
        <v>#REF!</v>
      </c>
      <c r="I76" s="29" t="e">
        <f>#REF!+#REF!+#REF!+#REF!+#REF!+#REF!+#REF!+#REF!+#REF!+#REF!+#REF!+#REF!+#REF!+#REF!+#REF!+#REF!+#REF!+#REF!+#REF!+#REF!+#REF!+#REF!+#REF!+#REF!+#REF!+#REF!+#REF!+#REF!+#REF!+#REF!+#REF!</f>
        <v>#REF!</v>
      </c>
      <c r="J76" s="15" t="e">
        <f t="shared" si="3"/>
        <v>#REF!</v>
      </c>
      <c r="K76" s="24">
        <v>-40</v>
      </c>
      <c r="L76" s="60" t="e">
        <f t="shared" si="2"/>
        <v>#REF!</v>
      </c>
      <c r="M76" s="30"/>
      <c r="N76" s="71"/>
      <c r="O76" s="72"/>
      <c r="P76" s="72"/>
      <c r="Q76" s="73"/>
      <c r="R76" s="43"/>
      <c r="S76" s="13"/>
    </row>
    <row r="77" spans="1:19" ht="9" customHeight="1">
      <c r="A77" s="10">
        <v>72</v>
      </c>
      <c r="B77" s="133"/>
      <c r="C77" s="24" t="s">
        <v>86</v>
      </c>
      <c r="D77" s="16"/>
      <c r="E77" s="29" t="e">
        <f>#REF!+#REF!+#REF!+#REF!+#REF!+#REF!+#REF!+#REF!+#REF!+#REF!+#REF!+#REF!+#REF!+#REF!+#REF!+#REF!+#REF!+#REF!+#REF!+#REF!+#REF!+#REF!+#REF!+#REF!+#REF!+#REF!+#REF!+#REF!+#REF!+#REF!+#REF!</f>
        <v>#REF!</v>
      </c>
      <c r="F77" s="29" t="e">
        <f>#REF!+#REF!+#REF!+#REF!+#REF!+#REF!+#REF!+#REF!+#REF!+#REF!+#REF!+#REF!+#REF!+#REF!+#REF!+#REF!+#REF!+#REF!+#REF!+#REF!+#REF!+#REF!+#REF!+#REF!+#REF!+#REF!+#REF!+#REF!+#REF!+#REF!+#REF!</f>
        <v>#REF!</v>
      </c>
      <c r="G77" s="16" t="e">
        <f t="shared" si="0"/>
        <v>#REF!</v>
      </c>
      <c r="H77" s="29" t="e">
        <f>#REF!+#REF!+#REF!+#REF!+#REF!+#REF!+#REF!+#REF!+#REF!+#REF!+#REF!+#REF!+#REF!+#REF!+#REF!+#REF!+#REF!+#REF!+#REF!+#REF!+#REF!+#REF!+#REF!+#REF!+#REF!+#REF!+#REF!+#REF!+#REF!+#REF!+#REF!</f>
        <v>#REF!</v>
      </c>
      <c r="I77" s="29" t="e">
        <f>#REF!+#REF!+#REF!+#REF!+#REF!+#REF!+#REF!+#REF!+#REF!+#REF!+#REF!+#REF!+#REF!+#REF!+#REF!+#REF!+#REF!+#REF!+#REF!+#REF!+#REF!+#REF!+#REF!+#REF!+#REF!+#REF!+#REF!+#REF!+#REF!+#REF!+#REF!</f>
        <v>#REF!</v>
      </c>
      <c r="J77" s="15" t="e">
        <f t="shared" si="3"/>
        <v>#REF!</v>
      </c>
      <c r="K77" s="24">
        <v>7</v>
      </c>
      <c r="L77" s="16" t="e">
        <f t="shared" si="2"/>
        <v>#REF!</v>
      </c>
      <c r="M77" s="32"/>
      <c r="N77" s="71"/>
      <c r="O77" s="72"/>
      <c r="P77" s="72"/>
      <c r="Q77" s="73"/>
      <c r="R77" s="43"/>
    </row>
    <row r="78" spans="1:19" ht="9" customHeight="1">
      <c r="A78" s="10">
        <v>73</v>
      </c>
      <c r="B78" s="133"/>
      <c r="C78" s="24" t="s">
        <v>64</v>
      </c>
      <c r="D78" s="16"/>
      <c r="E78" s="29" t="e">
        <f>#REF!+#REF!+#REF!+#REF!+#REF!+#REF!+#REF!+#REF!+#REF!+#REF!+#REF!+#REF!+#REF!+#REF!+#REF!+#REF!+#REF!+#REF!+#REF!+#REF!+#REF!+#REF!+#REF!+#REF!+#REF!+#REF!+#REF!+#REF!+#REF!+#REF!+#REF!</f>
        <v>#REF!</v>
      </c>
      <c r="F78" s="29" t="e">
        <f>#REF!+#REF!+#REF!+#REF!+#REF!+#REF!+#REF!+#REF!+#REF!+#REF!+#REF!+#REF!+#REF!+#REF!+#REF!+#REF!+#REF!+#REF!+#REF!+#REF!+#REF!+#REF!+#REF!+#REF!+#REF!+#REF!+#REF!+#REF!+#REF!+#REF!+#REF!</f>
        <v>#REF!</v>
      </c>
      <c r="G78" s="16" t="e">
        <f t="shared" si="0"/>
        <v>#REF!</v>
      </c>
      <c r="H78" s="29" t="e">
        <f>#REF!+#REF!+#REF!+#REF!+#REF!+#REF!+#REF!+#REF!+#REF!+#REF!+#REF!+#REF!+#REF!+#REF!+#REF!+#REF!+#REF!+#REF!+#REF!+#REF!+#REF!+#REF!+#REF!+#REF!+#REF!+#REF!+#REF!+#REF!+#REF!+#REF!+#REF!</f>
        <v>#REF!</v>
      </c>
      <c r="I78" s="29" t="e">
        <f>#REF!+#REF!+#REF!+#REF!+#REF!+#REF!+#REF!+#REF!+#REF!+#REF!+#REF!+#REF!+#REF!+#REF!+#REF!+#REF!+#REF!+#REF!+#REF!+#REF!+#REF!+#REF!+#REF!+#REF!+#REF!+#REF!+#REF!+#REF!+#REF!+#REF!+#REF!</f>
        <v>#REF!</v>
      </c>
      <c r="J78" s="15" t="e">
        <f t="shared" si="3"/>
        <v>#REF!</v>
      </c>
      <c r="K78" s="24">
        <v>-50</v>
      </c>
      <c r="L78" s="60" t="e">
        <f t="shared" si="2"/>
        <v>#REF!</v>
      </c>
      <c r="M78" s="32"/>
      <c r="N78" s="71"/>
      <c r="O78" s="72"/>
      <c r="P78" s="72"/>
      <c r="Q78" s="73"/>
      <c r="R78" s="43"/>
    </row>
    <row r="79" spans="1:19" ht="9" customHeight="1">
      <c r="A79" s="10">
        <v>74</v>
      </c>
      <c r="B79" s="133"/>
      <c r="C79" s="24" t="s">
        <v>65</v>
      </c>
      <c r="D79" s="16"/>
      <c r="E79" s="29" t="e">
        <f>#REF!+#REF!+#REF!+#REF!+#REF!+#REF!+#REF!+#REF!+#REF!+#REF!+#REF!+#REF!+#REF!+#REF!+#REF!+#REF!+#REF!+#REF!+#REF!+#REF!+#REF!+#REF!+#REF!+#REF!+#REF!+#REF!+#REF!+#REF!+#REF!+#REF!+#REF!</f>
        <v>#REF!</v>
      </c>
      <c r="F79" s="29" t="e">
        <f>#REF!+#REF!+#REF!+#REF!+#REF!+#REF!+#REF!+#REF!+#REF!+#REF!+#REF!+#REF!+#REF!+#REF!+#REF!+#REF!+#REF!+#REF!+#REF!+#REF!+#REF!+#REF!+#REF!+#REF!+#REF!+#REF!+#REF!+#REF!+#REF!+#REF!+#REF!</f>
        <v>#REF!</v>
      </c>
      <c r="G79" s="16" t="e">
        <f t="shared" si="0"/>
        <v>#REF!</v>
      </c>
      <c r="H79" s="29" t="e">
        <f>#REF!+#REF!+#REF!+#REF!+#REF!+#REF!+#REF!+#REF!+#REF!+#REF!+#REF!+#REF!+#REF!+#REF!+#REF!+#REF!+#REF!+#REF!+#REF!+#REF!+#REF!+#REF!+#REF!+#REF!+#REF!+#REF!+#REF!+#REF!+#REF!+#REF!+#REF!</f>
        <v>#REF!</v>
      </c>
      <c r="I79" s="29" t="e">
        <f>#REF!+#REF!+#REF!+#REF!+#REF!+#REF!+#REF!+#REF!+#REF!+#REF!+#REF!+#REF!+#REF!+#REF!+#REF!+#REF!+#REF!+#REF!+#REF!+#REF!+#REF!+#REF!+#REF!+#REF!+#REF!+#REF!+#REF!+#REF!+#REF!+#REF!+#REF!</f>
        <v>#REF!</v>
      </c>
      <c r="J79" s="15" t="e">
        <f t="shared" si="3"/>
        <v>#REF!</v>
      </c>
      <c r="K79" s="24">
        <v>-4</v>
      </c>
      <c r="L79" s="60" t="e">
        <f t="shared" si="2"/>
        <v>#REF!</v>
      </c>
      <c r="M79" s="32"/>
      <c r="N79" s="71"/>
      <c r="O79" s="72"/>
      <c r="P79" s="72"/>
      <c r="Q79" s="73"/>
      <c r="R79" s="43"/>
    </row>
    <row r="80" spans="1:19" ht="9" customHeight="1">
      <c r="A80" s="10">
        <v>75</v>
      </c>
      <c r="B80" s="133"/>
      <c r="C80" s="24" t="s">
        <v>82</v>
      </c>
      <c r="D80" s="16"/>
      <c r="E80" s="29" t="e">
        <f>#REF!+#REF!+#REF!+#REF!+#REF!+#REF!+#REF!+#REF!+#REF!+#REF!+#REF!+#REF!+#REF!+#REF!+#REF!+#REF!+#REF!+#REF!+#REF!+#REF!+#REF!+#REF!+#REF!+#REF!+#REF!+#REF!+#REF!+#REF!+#REF!+#REF!+#REF!</f>
        <v>#REF!</v>
      </c>
      <c r="F80" s="29" t="e">
        <f>#REF!+#REF!+#REF!+#REF!+#REF!+#REF!+#REF!+#REF!+#REF!+#REF!+#REF!+#REF!+#REF!+#REF!+#REF!+#REF!+#REF!+#REF!+#REF!+#REF!+#REF!+#REF!+#REF!+#REF!+#REF!+#REF!+#REF!+#REF!+#REF!+#REF!+#REF!</f>
        <v>#REF!</v>
      </c>
      <c r="G80" s="16" t="e">
        <f t="shared" si="0"/>
        <v>#REF!</v>
      </c>
      <c r="H80" s="29" t="e">
        <f>#REF!+#REF!+#REF!+#REF!+#REF!+#REF!+#REF!+#REF!+#REF!+#REF!+#REF!+#REF!+#REF!+#REF!+#REF!+#REF!+#REF!+#REF!+#REF!+#REF!+#REF!+#REF!+#REF!+#REF!+#REF!+#REF!+#REF!+#REF!+#REF!+#REF!+#REF!</f>
        <v>#REF!</v>
      </c>
      <c r="I80" s="29" t="e">
        <f>#REF!+#REF!+#REF!+#REF!+#REF!+#REF!+#REF!+#REF!+#REF!+#REF!+#REF!+#REF!+#REF!+#REF!+#REF!+#REF!+#REF!+#REF!+#REF!+#REF!+#REF!+#REF!+#REF!+#REF!+#REF!+#REF!+#REF!+#REF!+#REF!+#REF!+#REF!</f>
        <v>#REF!</v>
      </c>
      <c r="J80" s="15" t="e">
        <f t="shared" si="3"/>
        <v>#REF!</v>
      </c>
      <c r="K80" s="24">
        <v>-180</v>
      </c>
      <c r="L80" s="60" t="e">
        <f t="shared" si="2"/>
        <v>#REF!</v>
      </c>
      <c r="M80" s="32"/>
      <c r="N80" s="71"/>
      <c r="O80" s="72"/>
      <c r="P80" s="72"/>
      <c r="Q80" s="73"/>
      <c r="R80" s="43"/>
    </row>
    <row r="81" spans="1:18" ht="9" customHeight="1">
      <c r="A81" s="10">
        <v>76</v>
      </c>
      <c r="B81" s="133"/>
      <c r="C81" s="33" t="s">
        <v>76</v>
      </c>
      <c r="D81" s="16"/>
      <c r="E81" s="29" t="e">
        <f>#REF!+#REF!+#REF!+#REF!+#REF!+#REF!+#REF!+#REF!+#REF!+#REF!+#REF!+#REF!+#REF!+#REF!+#REF!+#REF!+#REF!+#REF!+#REF!+#REF!+#REF!+#REF!+#REF!+#REF!+#REF!+#REF!+#REF!+#REF!+#REF!+#REF!+#REF!</f>
        <v>#REF!</v>
      </c>
      <c r="F81" s="29" t="e">
        <f>#REF!+#REF!+#REF!+#REF!+#REF!+#REF!+#REF!+#REF!+#REF!+#REF!+#REF!+#REF!+#REF!+#REF!+#REF!+#REF!+#REF!+#REF!+#REF!+#REF!+#REF!+#REF!+#REF!+#REF!+#REF!+#REF!+#REF!+#REF!+#REF!+#REF!+#REF!</f>
        <v>#REF!</v>
      </c>
      <c r="G81" s="16" t="e">
        <f t="shared" ref="G81:G95" si="4">D81+E81-F81</f>
        <v>#REF!</v>
      </c>
      <c r="H81" s="29" t="e">
        <f>#REF!+#REF!+#REF!+#REF!+#REF!+#REF!+#REF!+#REF!+#REF!+#REF!+#REF!+#REF!+#REF!+#REF!+#REF!+#REF!+#REF!+#REF!+#REF!+#REF!+#REF!+#REF!+#REF!+#REF!+#REF!+#REF!+#REF!+#REF!+#REF!+#REF!+#REF!</f>
        <v>#REF!</v>
      </c>
      <c r="I81" s="29" t="e">
        <f>#REF!+#REF!+#REF!+#REF!+#REF!+#REF!+#REF!+#REF!+#REF!+#REF!+#REF!+#REF!+#REF!+#REF!+#REF!+#REF!+#REF!+#REF!+#REF!+#REF!+#REF!+#REF!+#REF!+#REF!+#REF!+#REF!+#REF!+#REF!+#REF!+#REF!+#REF!</f>
        <v>#REF!</v>
      </c>
      <c r="J81" s="15" t="e">
        <f t="shared" si="3"/>
        <v>#REF!</v>
      </c>
      <c r="K81" s="24">
        <v>441</v>
      </c>
      <c r="L81" s="16" t="e">
        <f t="shared" si="2"/>
        <v>#REF!</v>
      </c>
      <c r="M81" s="66"/>
      <c r="N81" s="71"/>
      <c r="O81" s="72"/>
      <c r="P81" s="72"/>
      <c r="Q81" s="73"/>
      <c r="R81" s="43"/>
    </row>
    <row r="82" spans="1:18" ht="9" customHeight="1">
      <c r="A82" s="10">
        <v>77</v>
      </c>
      <c r="B82" s="133"/>
      <c r="C82" s="34" t="s">
        <v>77</v>
      </c>
      <c r="D82" s="16"/>
      <c r="E82" s="29" t="e">
        <f>#REF!+#REF!+#REF!+#REF!+#REF!+#REF!+#REF!+#REF!+#REF!+#REF!+#REF!+#REF!+#REF!+#REF!+#REF!+#REF!+#REF!+#REF!+#REF!+#REF!+#REF!+#REF!+#REF!+#REF!+#REF!+#REF!+#REF!+#REF!+#REF!+#REF!+#REF!</f>
        <v>#REF!</v>
      </c>
      <c r="F82" s="29" t="e">
        <f>#REF!+#REF!+#REF!+#REF!+#REF!+#REF!+#REF!+#REF!+#REF!+#REF!+#REF!+#REF!+#REF!+#REF!+#REF!+#REF!+#REF!+#REF!+#REF!+#REF!+#REF!+#REF!+#REF!+#REF!+#REF!+#REF!+#REF!+#REF!+#REF!+#REF!+#REF!</f>
        <v>#REF!</v>
      </c>
      <c r="G82" s="16" t="e">
        <f t="shared" si="4"/>
        <v>#REF!</v>
      </c>
      <c r="H82" s="29" t="e">
        <f>#REF!+#REF!+#REF!+#REF!+#REF!+#REF!+#REF!+#REF!+#REF!+#REF!+#REF!+#REF!+#REF!+#REF!+#REF!+#REF!+#REF!+#REF!+#REF!+#REF!+#REF!+#REF!+#REF!+#REF!+#REF!+#REF!+#REF!+#REF!+#REF!+#REF!+#REF!</f>
        <v>#REF!</v>
      </c>
      <c r="I82" s="29" t="e">
        <f>#REF!+#REF!+#REF!+#REF!+#REF!+#REF!+#REF!+#REF!+#REF!+#REF!+#REF!+#REF!+#REF!+#REF!+#REF!+#REF!+#REF!+#REF!+#REF!+#REF!+#REF!+#REF!+#REF!+#REF!+#REF!+#REF!+#REF!+#REF!+#REF!+#REF!+#REF!</f>
        <v>#REF!</v>
      </c>
      <c r="J82" s="15" t="e">
        <f t="shared" si="3"/>
        <v>#REF!</v>
      </c>
      <c r="K82" s="53">
        <v>800</v>
      </c>
      <c r="L82" s="16" t="e">
        <f t="shared" si="2"/>
        <v>#REF!</v>
      </c>
      <c r="M82" s="66"/>
      <c r="N82" s="71"/>
      <c r="O82" s="72"/>
      <c r="P82" s="72"/>
      <c r="Q82" s="73"/>
      <c r="R82" s="43"/>
    </row>
    <row r="83" spans="1:18" ht="9" customHeight="1">
      <c r="A83" s="10">
        <v>78</v>
      </c>
      <c r="B83" s="133"/>
      <c r="C83" s="24" t="s">
        <v>26</v>
      </c>
      <c r="D83" s="16"/>
      <c r="E83" s="29" t="e">
        <f>#REF!+#REF!+#REF!+#REF!+#REF!+#REF!+#REF!+#REF!+#REF!+#REF!+#REF!+#REF!+#REF!+#REF!+#REF!+#REF!+#REF!+#REF!+#REF!+#REF!+#REF!+#REF!+#REF!+#REF!+#REF!+#REF!+#REF!+#REF!+#REF!+#REF!+#REF!</f>
        <v>#REF!</v>
      </c>
      <c r="F83" s="29" t="e">
        <f>#REF!+#REF!+#REF!+#REF!+#REF!+#REF!+#REF!+#REF!+#REF!+#REF!+#REF!+#REF!+#REF!+#REF!+#REF!+#REF!+#REF!+#REF!+#REF!+#REF!+#REF!+#REF!+#REF!+#REF!+#REF!+#REF!+#REF!+#REF!+#REF!+#REF!+#REF!</f>
        <v>#REF!</v>
      </c>
      <c r="G83" s="16" t="e">
        <f t="shared" si="4"/>
        <v>#REF!</v>
      </c>
      <c r="H83" s="29" t="e">
        <f>#REF!+#REF!+#REF!+#REF!+#REF!+#REF!+#REF!+#REF!+#REF!+#REF!+#REF!+#REF!+#REF!+#REF!+#REF!+#REF!+#REF!+#REF!+#REF!+#REF!+#REF!+#REF!+#REF!+#REF!+#REF!+#REF!+#REF!+#REF!+#REF!+#REF!+#REF!</f>
        <v>#REF!</v>
      </c>
      <c r="I83" s="29" t="e">
        <f>#REF!+#REF!+#REF!+#REF!+#REF!+#REF!+#REF!+#REF!+#REF!+#REF!+#REF!+#REF!+#REF!+#REF!+#REF!+#REF!+#REF!+#REF!+#REF!+#REF!+#REF!+#REF!+#REF!+#REF!+#REF!+#REF!+#REF!+#REF!+#REF!+#REF!+#REF!</f>
        <v>#REF!</v>
      </c>
      <c r="J83" s="15" t="e">
        <f t="shared" si="3"/>
        <v>#REF!</v>
      </c>
      <c r="K83" s="24">
        <v>0</v>
      </c>
      <c r="L83" s="16" t="e">
        <f t="shared" si="2"/>
        <v>#REF!</v>
      </c>
      <c r="M83" s="41">
        <v>0</v>
      </c>
      <c r="N83" s="73"/>
      <c r="O83" s="72"/>
      <c r="P83" s="72"/>
      <c r="Q83" s="73"/>
      <c r="R83" s="43"/>
    </row>
    <row r="84" spans="1:18" ht="9" customHeight="1">
      <c r="A84" s="10">
        <v>79</v>
      </c>
      <c r="B84" s="133"/>
      <c r="C84" s="35" t="s">
        <v>84</v>
      </c>
      <c r="D84" s="12"/>
      <c r="E84" s="29" t="e">
        <f>#REF!+#REF!+#REF!+#REF!+#REF!+#REF!+#REF!+#REF!+#REF!+#REF!+#REF!+#REF!+#REF!+#REF!+#REF!+#REF!+#REF!+#REF!+#REF!+#REF!+#REF!+#REF!+#REF!+#REF!+#REF!+#REF!+#REF!+#REF!+#REF!+#REF!+#REF!</f>
        <v>#REF!</v>
      </c>
      <c r="F84" s="29" t="e">
        <f>#REF!+#REF!+#REF!+#REF!+#REF!+#REF!+#REF!+#REF!+#REF!+#REF!+#REF!+#REF!+#REF!+#REF!+#REF!+#REF!+#REF!+#REF!+#REF!+#REF!+#REF!+#REF!+#REF!+#REF!+#REF!+#REF!+#REF!+#REF!+#REF!+#REF!+#REF!</f>
        <v>#REF!</v>
      </c>
      <c r="G84" s="45" t="e">
        <f t="shared" si="4"/>
        <v>#REF!</v>
      </c>
      <c r="H84" s="29" t="e">
        <f>#REF!+#REF!+#REF!+#REF!+#REF!+#REF!+#REF!+#REF!+#REF!+#REF!+#REF!+#REF!+#REF!+#REF!+#REF!+#REF!+#REF!+#REF!+#REF!+#REF!+#REF!+#REF!+#REF!+#REF!+#REF!+#REF!+#REF!+#REF!+#REF!+#REF!+#REF!</f>
        <v>#REF!</v>
      </c>
      <c r="I84" s="29" t="e">
        <f>#REF!+#REF!+#REF!+#REF!+#REF!+#REF!+#REF!+#REF!+#REF!+#REF!+#REF!+#REF!+#REF!+#REF!+#REF!+#REF!+#REF!+#REF!+#REF!+#REF!+#REF!+#REF!+#REF!+#REF!+#REF!+#REF!+#REF!+#REF!+#REF!+#REF!+#REF!</f>
        <v>#REF!</v>
      </c>
      <c r="J84" s="46" t="e">
        <f t="shared" ref="J84:J95" si="5">D84+E84-H84-I84</f>
        <v>#REF!</v>
      </c>
      <c r="K84" s="12">
        <v>45</v>
      </c>
      <c r="L84" s="45" t="e">
        <f t="shared" si="2"/>
        <v>#REF!</v>
      </c>
      <c r="M84" s="67"/>
      <c r="N84" s="71"/>
      <c r="O84" s="72"/>
      <c r="P84" s="72"/>
      <c r="Q84" s="73"/>
      <c r="R84" s="43"/>
    </row>
    <row r="85" spans="1:18" ht="9" customHeight="1">
      <c r="A85" s="10">
        <v>80</v>
      </c>
      <c r="B85" s="133"/>
      <c r="C85" s="47" t="s">
        <v>93</v>
      </c>
      <c r="D85" s="11"/>
      <c r="E85" s="29" t="e">
        <f>#REF!+#REF!+#REF!+#REF!+#REF!+#REF!+#REF!+#REF!+#REF!+#REF!+#REF!+#REF!+#REF!+#REF!+#REF!+#REF!+#REF!+#REF!+#REF!+#REF!+#REF!+#REF!+#REF!+#REF!+#REF!+#REF!+#REF!+#REF!+#REF!+#REF!+#REF!</f>
        <v>#REF!</v>
      </c>
      <c r="F85" s="29" t="e">
        <f>#REF!+#REF!+#REF!+#REF!+#REF!+#REF!+#REF!+#REF!+#REF!+#REF!+#REF!+#REF!+#REF!+#REF!+#REF!+#REF!+#REF!+#REF!+#REF!+#REF!+#REF!+#REF!+#REF!+#REF!+#REF!+#REF!+#REF!+#REF!+#REF!+#REF!+#REF!</f>
        <v>#REF!</v>
      </c>
      <c r="G85" s="16" t="e">
        <f t="shared" si="4"/>
        <v>#REF!</v>
      </c>
      <c r="H85" s="29" t="e">
        <f>#REF!+#REF!+#REF!+#REF!+#REF!+#REF!+#REF!+#REF!+#REF!+#REF!+#REF!+#REF!+#REF!+#REF!+#REF!+#REF!+#REF!+#REF!+#REF!+#REF!+#REF!+#REF!+#REF!+#REF!+#REF!+#REF!+#REF!+#REF!+#REF!+#REF!+#REF!</f>
        <v>#REF!</v>
      </c>
      <c r="I85" s="29" t="e">
        <f>#REF!+#REF!+#REF!+#REF!+#REF!+#REF!+#REF!+#REF!+#REF!+#REF!+#REF!+#REF!+#REF!+#REF!+#REF!+#REF!+#REF!+#REF!+#REF!+#REF!+#REF!+#REF!+#REF!+#REF!+#REF!+#REF!+#REF!+#REF!+#REF!+#REF!+#REF!</f>
        <v>#REF!</v>
      </c>
      <c r="J85" s="15" t="e">
        <f t="shared" si="5"/>
        <v>#REF!</v>
      </c>
      <c r="K85" s="11">
        <v>-68</v>
      </c>
      <c r="L85" s="60" t="e">
        <f t="shared" si="2"/>
        <v>#REF!</v>
      </c>
      <c r="M85" s="8"/>
      <c r="N85" s="71"/>
      <c r="O85" s="72"/>
      <c r="P85" s="72"/>
      <c r="Q85" s="73"/>
      <c r="R85" s="43"/>
    </row>
    <row r="86" spans="1:18" ht="9" customHeight="1">
      <c r="A86" s="10">
        <v>81</v>
      </c>
      <c r="B86" s="133"/>
      <c r="C86" s="47" t="s">
        <v>94</v>
      </c>
      <c r="D86" s="11"/>
      <c r="E86" s="29" t="e">
        <f>#REF!+#REF!+#REF!+#REF!+#REF!+#REF!+#REF!+#REF!+#REF!+#REF!+#REF!+#REF!+#REF!+#REF!+#REF!+#REF!+#REF!+#REF!+#REF!+#REF!+#REF!+#REF!+#REF!+#REF!+#REF!+#REF!+#REF!+#REF!+#REF!+#REF!+#REF!</f>
        <v>#REF!</v>
      </c>
      <c r="F86" s="29" t="e">
        <f>#REF!+#REF!+#REF!+#REF!+#REF!+#REF!+#REF!+#REF!+#REF!+#REF!+#REF!+#REF!+#REF!+#REF!+#REF!+#REF!+#REF!+#REF!+#REF!+#REF!+#REF!+#REF!+#REF!+#REF!+#REF!+#REF!+#REF!+#REF!+#REF!+#REF!+#REF!</f>
        <v>#REF!</v>
      </c>
      <c r="G86" s="16" t="e">
        <f t="shared" si="4"/>
        <v>#REF!</v>
      </c>
      <c r="H86" s="29" t="e">
        <f>#REF!+#REF!+#REF!+#REF!+#REF!+#REF!+#REF!+#REF!+#REF!+#REF!+#REF!+#REF!+#REF!+#REF!+#REF!+#REF!+#REF!+#REF!+#REF!+#REF!+#REF!+#REF!+#REF!+#REF!+#REF!+#REF!+#REF!+#REF!+#REF!+#REF!+#REF!</f>
        <v>#REF!</v>
      </c>
      <c r="I86" s="29" t="e">
        <f>#REF!+#REF!+#REF!+#REF!+#REF!+#REF!+#REF!+#REF!+#REF!+#REF!+#REF!+#REF!+#REF!+#REF!+#REF!+#REF!+#REF!+#REF!+#REF!+#REF!+#REF!+#REF!+#REF!+#REF!+#REF!+#REF!+#REF!+#REF!+#REF!+#REF!+#REF!</f>
        <v>#REF!</v>
      </c>
      <c r="J86" s="15" t="e">
        <f t="shared" si="5"/>
        <v>#REF!</v>
      </c>
      <c r="K86" s="11">
        <v>300</v>
      </c>
      <c r="L86" s="60" t="e">
        <f t="shared" si="2"/>
        <v>#REF!</v>
      </c>
      <c r="M86" s="30"/>
      <c r="N86" s="71"/>
      <c r="O86" s="72"/>
      <c r="P86" s="72"/>
      <c r="Q86" s="73"/>
      <c r="R86" s="43"/>
    </row>
    <row r="87" spans="1:18" ht="9" customHeight="1">
      <c r="A87" s="10">
        <v>82</v>
      </c>
      <c r="B87" s="133"/>
      <c r="C87" s="47" t="s">
        <v>96</v>
      </c>
      <c r="D87" s="11"/>
      <c r="E87" s="29" t="e">
        <f>#REF!+#REF!+#REF!+#REF!+#REF!+#REF!+#REF!+#REF!+#REF!+#REF!+#REF!+#REF!+#REF!+#REF!+#REF!+#REF!+#REF!+#REF!+#REF!+#REF!+#REF!+#REF!+#REF!+#REF!+#REF!+#REF!+#REF!+#REF!+#REF!+#REF!+#REF!</f>
        <v>#REF!</v>
      </c>
      <c r="F87" s="29" t="e">
        <f>#REF!+#REF!+#REF!+#REF!+#REF!+#REF!+#REF!+#REF!+#REF!+#REF!+#REF!+#REF!+#REF!+#REF!+#REF!+#REF!+#REF!+#REF!+#REF!+#REF!+#REF!+#REF!+#REF!+#REF!+#REF!+#REF!+#REF!+#REF!+#REF!+#REF!+#REF!</f>
        <v>#REF!</v>
      </c>
      <c r="G87" s="16" t="e">
        <f t="shared" si="4"/>
        <v>#REF!</v>
      </c>
      <c r="H87" s="29" t="e">
        <f>#REF!+#REF!+#REF!+#REF!+#REF!+#REF!+#REF!+#REF!+#REF!+#REF!+#REF!+#REF!+#REF!+#REF!+#REF!+#REF!+#REF!+#REF!+#REF!+#REF!+#REF!+#REF!+#REF!+#REF!+#REF!+#REF!+#REF!+#REF!+#REF!+#REF!+#REF!</f>
        <v>#REF!</v>
      </c>
      <c r="I87" s="29" t="e">
        <f>#REF!+#REF!+#REF!+#REF!+#REF!+#REF!+#REF!+#REF!+#REF!+#REF!+#REF!+#REF!+#REF!+#REF!+#REF!+#REF!+#REF!+#REF!+#REF!+#REF!+#REF!+#REF!+#REF!+#REF!+#REF!+#REF!+#REF!+#REF!+#REF!+#REF!+#REF!</f>
        <v>#REF!</v>
      </c>
      <c r="J87" s="15" t="e">
        <f t="shared" si="5"/>
        <v>#REF!</v>
      </c>
      <c r="K87" s="11">
        <v>-1</v>
      </c>
      <c r="L87" s="16" t="e">
        <f t="shared" si="2"/>
        <v>#REF!</v>
      </c>
      <c r="M87" s="8"/>
      <c r="N87" s="71"/>
      <c r="O87" s="72"/>
      <c r="P87" s="72"/>
      <c r="Q87" s="73"/>
      <c r="R87" s="44"/>
    </row>
    <row r="88" spans="1:18" ht="9" customHeight="1">
      <c r="A88" s="10">
        <v>83</v>
      </c>
      <c r="B88" s="133"/>
      <c r="C88" s="47" t="s">
        <v>103</v>
      </c>
      <c r="D88" s="11"/>
      <c r="E88" s="29" t="e">
        <f>#REF!+#REF!+#REF!+#REF!+#REF!+#REF!+#REF!+#REF!+#REF!+#REF!+#REF!+#REF!+#REF!+#REF!+#REF!+#REF!+#REF!+#REF!+#REF!+#REF!+#REF!+#REF!+#REF!+#REF!+#REF!+#REF!+#REF!+#REF!+#REF!+#REF!+#REF!</f>
        <v>#REF!</v>
      </c>
      <c r="F88" s="29" t="e">
        <f>#REF!+#REF!+#REF!+#REF!+#REF!+#REF!+#REF!+#REF!+#REF!+#REF!+#REF!+#REF!+#REF!+#REF!+#REF!+#REF!+#REF!+#REF!+#REF!+#REF!+#REF!+#REF!+#REF!+#REF!+#REF!+#REF!+#REF!+#REF!+#REF!+#REF!+#REF!</f>
        <v>#REF!</v>
      </c>
      <c r="G88" s="16" t="e">
        <f t="shared" si="4"/>
        <v>#REF!</v>
      </c>
      <c r="H88" s="29" t="e">
        <f>#REF!+#REF!+#REF!+#REF!+#REF!+#REF!+#REF!+#REF!+#REF!+#REF!+#REF!+#REF!+#REF!+#REF!+#REF!+#REF!+#REF!+#REF!+#REF!+#REF!+#REF!+#REF!+#REF!+#REF!+#REF!+#REF!+#REF!+#REF!+#REF!+#REF!+#REF!</f>
        <v>#REF!</v>
      </c>
      <c r="I88" s="29" t="e">
        <f>#REF!+#REF!+#REF!+#REF!+#REF!+#REF!+#REF!+#REF!+#REF!+#REF!+#REF!+#REF!+#REF!+#REF!+#REF!+#REF!+#REF!+#REF!+#REF!+#REF!+#REF!+#REF!+#REF!+#REF!+#REF!+#REF!+#REF!+#REF!+#REF!+#REF!+#REF!</f>
        <v>#REF!</v>
      </c>
      <c r="J88" s="15" t="e">
        <f t="shared" si="5"/>
        <v>#REF!</v>
      </c>
      <c r="K88" s="11"/>
      <c r="L88" s="59" t="e">
        <f t="shared" ref="L88:L92" si="6">J88+K88</f>
        <v>#REF!</v>
      </c>
      <c r="M88" s="8"/>
      <c r="N88" s="71"/>
      <c r="O88" s="72"/>
      <c r="P88" s="72"/>
      <c r="Q88" s="73"/>
      <c r="R88" s="44"/>
    </row>
    <row r="89" spans="1:18" ht="9" customHeight="1">
      <c r="A89" s="10">
        <v>84</v>
      </c>
      <c r="B89" s="133"/>
      <c r="C89" s="47" t="s">
        <v>104</v>
      </c>
      <c r="D89" s="11"/>
      <c r="E89" s="29" t="e">
        <f>#REF!+#REF!+#REF!+#REF!+#REF!+#REF!+#REF!+#REF!+#REF!+#REF!+#REF!+#REF!+#REF!+#REF!+#REF!+#REF!+#REF!+#REF!+#REF!+#REF!+#REF!+#REF!+#REF!+#REF!+#REF!+#REF!+#REF!+#REF!+#REF!+#REF!+#REF!</f>
        <v>#REF!</v>
      </c>
      <c r="F89" s="29" t="e">
        <f>#REF!+#REF!+#REF!+#REF!+#REF!+#REF!+#REF!+#REF!+#REF!+#REF!+#REF!+#REF!+#REF!+#REF!+#REF!+#REF!+#REF!+#REF!+#REF!+#REF!+#REF!+#REF!+#REF!+#REF!+#REF!+#REF!+#REF!+#REF!+#REF!+#REF!+#REF!</f>
        <v>#REF!</v>
      </c>
      <c r="G89" s="16" t="e">
        <f t="shared" si="4"/>
        <v>#REF!</v>
      </c>
      <c r="H89" s="29" t="e">
        <f>#REF!+#REF!+#REF!+#REF!+#REF!+#REF!+#REF!+#REF!+#REF!+#REF!+#REF!+#REF!+#REF!+#REF!+#REF!+#REF!+#REF!+#REF!+#REF!+#REF!+#REF!+#REF!+#REF!+#REF!+#REF!+#REF!+#REF!+#REF!+#REF!+#REF!+#REF!</f>
        <v>#REF!</v>
      </c>
      <c r="I89" s="29" t="e">
        <f>#REF!+#REF!+#REF!+#REF!+#REF!+#REF!+#REF!+#REF!+#REF!+#REF!+#REF!+#REF!+#REF!+#REF!+#REF!+#REF!+#REF!+#REF!+#REF!+#REF!+#REF!+#REF!+#REF!+#REF!+#REF!+#REF!+#REF!+#REF!+#REF!+#REF!+#REF!</f>
        <v>#REF!</v>
      </c>
      <c r="J89" s="15" t="e">
        <f t="shared" si="5"/>
        <v>#REF!</v>
      </c>
      <c r="K89" s="11">
        <v>-6</v>
      </c>
      <c r="L89" s="60" t="e">
        <f t="shared" si="6"/>
        <v>#REF!</v>
      </c>
      <c r="M89" s="8"/>
      <c r="N89" s="71"/>
      <c r="O89" s="72"/>
      <c r="P89" s="72"/>
      <c r="Q89" s="73"/>
      <c r="R89" s="44"/>
    </row>
    <row r="90" spans="1:18" ht="9" customHeight="1">
      <c r="A90" s="10">
        <v>85</v>
      </c>
      <c r="B90" s="133"/>
      <c r="C90" s="47" t="s">
        <v>105</v>
      </c>
      <c r="D90" s="11"/>
      <c r="E90" s="29" t="e">
        <f>#REF!+#REF!+#REF!+#REF!+#REF!+#REF!+#REF!+#REF!+#REF!+#REF!+#REF!+#REF!+#REF!+#REF!+#REF!+#REF!+#REF!+#REF!+#REF!+#REF!+#REF!+#REF!+#REF!+#REF!+#REF!+#REF!+#REF!+#REF!+#REF!+#REF!+#REF!</f>
        <v>#REF!</v>
      </c>
      <c r="F90" s="29" t="e">
        <f>#REF!+#REF!+#REF!+#REF!+#REF!+#REF!+#REF!+#REF!+#REF!+#REF!+#REF!+#REF!+#REF!+#REF!+#REF!+#REF!+#REF!+#REF!+#REF!+#REF!+#REF!+#REF!+#REF!+#REF!+#REF!+#REF!+#REF!+#REF!+#REF!+#REF!+#REF!</f>
        <v>#REF!</v>
      </c>
      <c r="G90" s="16" t="e">
        <f t="shared" si="4"/>
        <v>#REF!</v>
      </c>
      <c r="H90" s="29" t="e">
        <f>#REF!+#REF!+#REF!+#REF!+#REF!+#REF!+#REF!+#REF!+#REF!+#REF!+#REF!+#REF!+#REF!+#REF!+#REF!+#REF!+#REF!+#REF!+#REF!+#REF!+#REF!+#REF!+#REF!+#REF!+#REF!+#REF!+#REF!+#REF!+#REF!+#REF!+#REF!</f>
        <v>#REF!</v>
      </c>
      <c r="I90" s="29" t="e">
        <f>#REF!+#REF!+#REF!+#REF!+#REF!+#REF!+#REF!+#REF!+#REF!+#REF!+#REF!+#REF!+#REF!+#REF!+#REF!+#REF!+#REF!+#REF!+#REF!+#REF!+#REF!+#REF!+#REF!+#REF!+#REF!+#REF!+#REF!+#REF!+#REF!+#REF!+#REF!</f>
        <v>#REF!</v>
      </c>
      <c r="J90" s="15" t="e">
        <f t="shared" si="5"/>
        <v>#REF!</v>
      </c>
      <c r="K90" s="11">
        <v>-7</v>
      </c>
      <c r="L90" s="60" t="e">
        <f t="shared" si="6"/>
        <v>#REF!</v>
      </c>
      <c r="M90" s="8"/>
      <c r="N90" s="71"/>
      <c r="O90" s="72"/>
      <c r="P90" s="72"/>
      <c r="Q90" s="73"/>
      <c r="R90" s="44"/>
    </row>
    <row r="91" spans="1:18" ht="9" customHeight="1">
      <c r="A91" s="10">
        <v>86</v>
      </c>
      <c r="B91" s="133"/>
      <c r="C91" s="47" t="s">
        <v>106</v>
      </c>
      <c r="D91" s="11"/>
      <c r="E91" s="29" t="e">
        <f>#REF!+#REF!+#REF!+#REF!+#REF!+#REF!+#REF!+#REF!+#REF!+#REF!+#REF!+#REF!+#REF!+#REF!+#REF!+#REF!+#REF!+#REF!+#REF!+#REF!+#REF!+#REF!+#REF!+#REF!+#REF!+#REF!+#REF!+#REF!+#REF!+#REF!+#REF!</f>
        <v>#REF!</v>
      </c>
      <c r="F91" s="29" t="e">
        <f>#REF!+#REF!+#REF!+#REF!+#REF!+#REF!+#REF!+#REF!+#REF!+#REF!+#REF!+#REF!+#REF!+#REF!+#REF!+#REF!+#REF!+#REF!+#REF!+#REF!+#REF!+#REF!+#REF!+#REF!+#REF!+#REF!+#REF!+#REF!+#REF!+#REF!+#REF!</f>
        <v>#REF!</v>
      </c>
      <c r="G91" s="16" t="e">
        <f t="shared" si="4"/>
        <v>#REF!</v>
      </c>
      <c r="H91" s="29" t="e">
        <f>#REF!+#REF!+#REF!+#REF!+#REF!+#REF!+#REF!+#REF!+#REF!+#REF!+#REF!+#REF!+#REF!+#REF!+#REF!+#REF!+#REF!+#REF!+#REF!+#REF!+#REF!+#REF!+#REF!+#REF!+#REF!+#REF!+#REF!+#REF!+#REF!+#REF!+#REF!</f>
        <v>#REF!</v>
      </c>
      <c r="I91" s="29" t="e">
        <f>#REF!+#REF!+#REF!+#REF!+#REF!+#REF!+#REF!+#REF!+#REF!+#REF!+#REF!+#REF!+#REF!+#REF!+#REF!+#REF!+#REF!+#REF!+#REF!+#REF!+#REF!+#REF!+#REF!+#REF!+#REF!+#REF!+#REF!+#REF!+#REF!+#REF!+#REF!</f>
        <v>#REF!</v>
      </c>
      <c r="J91" s="15" t="e">
        <f t="shared" si="5"/>
        <v>#REF!</v>
      </c>
      <c r="K91" s="11">
        <v>23</v>
      </c>
      <c r="L91" s="60" t="e">
        <f t="shared" si="6"/>
        <v>#REF!</v>
      </c>
      <c r="M91" s="8"/>
      <c r="N91" s="71"/>
      <c r="O91" s="72"/>
      <c r="P91" s="72"/>
      <c r="Q91" s="73"/>
      <c r="R91" s="44"/>
    </row>
    <row r="92" spans="1:18" ht="9" customHeight="1">
      <c r="A92" s="10">
        <v>87</v>
      </c>
      <c r="B92" s="134"/>
      <c r="C92" s="47" t="s">
        <v>107</v>
      </c>
      <c r="D92" s="11"/>
      <c r="E92" s="29" t="e">
        <f>#REF!+#REF!+#REF!+#REF!+#REF!+#REF!+#REF!+#REF!+#REF!+#REF!+#REF!+#REF!+#REF!+#REF!+#REF!+#REF!+#REF!+#REF!+#REF!+#REF!+#REF!+#REF!+#REF!+#REF!+#REF!+#REF!+#REF!+#REF!+#REF!+#REF!+#REF!</f>
        <v>#REF!</v>
      </c>
      <c r="F92" s="29" t="e">
        <f>#REF!+#REF!+#REF!+#REF!+#REF!+#REF!+#REF!+#REF!+#REF!+#REF!+#REF!+#REF!+#REF!+#REF!+#REF!+#REF!+#REF!+#REF!+#REF!+#REF!+#REF!+#REF!+#REF!+#REF!+#REF!+#REF!+#REF!+#REF!+#REF!+#REF!+#REF!</f>
        <v>#REF!</v>
      </c>
      <c r="G92" s="16" t="e">
        <f t="shared" si="4"/>
        <v>#REF!</v>
      </c>
      <c r="H92" s="29" t="e">
        <f>#REF!+#REF!+#REF!+#REF!+#REF!+#REF!+#REF!+#REF!+#REF!+#REF!+#REF!+#REF!+#REF!+#REF!+#REF!+#REF!+#REF!+#REF!+#REF!+#REF!+#REF!+#REF!+#REF!+#REF!+#REF!+#REF!+#REF!+#REF!+#REF!+#REF!+#REF!</f>
        <v>#REF!</v>
      </c>
      <c r="I92" s="29" t="e">
        <f>#REF!+#REF!+#REF!+#REF!+#REF!+#REF!+#REF!+#REF!+#REF!+#REF!+#REF!+#REF!+#REF!+#REF!+#REF!+#REF!+#REF!+#REF!+#REF!+#REF!+#REF!+#REF!+#REF!+#REF!+#REF!+#REF!+#REF!+#REF!+#REF!+#REF!+#REF!</f>
        <v>#REF!</v>
      </c>
      <c r="J92" s="15" t="e">
        <f t="shared" si="5"/>
        <v>#REF!</v>
      </c>
      <c r="K92" s="11"/>
      <c r="L92" s="16" t="e">
        <f t="shared" si="6"/>
        <v>#REF!</v>
      </c>
      <c r="M92" s="66"/>
      <c r="N92" s="71"/>
      <c r="O92" s="72"/>
      <c r="P92" s="72"/>
      <c r="Q92" s="73"/>
      <c r="R92" s="44"/>
    </row>
    <row r="93" spans="1:18" ht="9" customHeight="1">
      <c r="A93" s="10"/>
      <c r="B93" s="91"/>
      <c r="C93" s="47" t="s">
        <v>116</v>
      </c>
      <c r="D93" s="11"/>
      <c r="E93" s="29" t="e">
        <f>#REF!+#REF!+#REF!+#REF!+#REF!+#REF!+#REF!+#REF!+#REF!+#REF!+#REF!+#REF!+#REF!+#REF!+#REF!+#REF!+#REF!+#REF!+#REF!+#REF!+#REF!+#REF!+#REF!+#REF!+#REF!+#REF!+#REF!+#REF!+#REF!+#REF!+#REF!</f>
        <v>#REF!</v>
      </c>
      <c r="F93" s="29" t="e">
        <f>#REF!+#REF!+#REF!+#REF!+#REF!+#REF!+#REF!+#REF!+#REF!+#REF!+#REF!+#REF!+#REF!+#REF!+#REF!+#REF!+#REF!+#REF!+#REF!+#REF!+#REF!+#REF!+#REF!+#REF!+#REF!+#REF!+#REF!+#REF!+#REF!+#REF!+#REF!</f>
        <v>#REF!</v>
      </c>
      <c r="G93" s="16" t="e">
        <f t="shared" si="4"/>
        <v>#REF!</v>
      </c>
      <c r="H93" s="29" t="e">
        <f>#REF!+#REF!+#REF!+#REF!+#REF!+#REF!+#REF!+#REF!+#REF!+#REF!+#REF!+#REF!+#REF!+#REF!+#REF!+#REF!+#REF!+#REF!+#REF!+#REF!+#REF!+#REF!+#REF!+#REF!+#REF!+#REF!+#REF!+#REF!+#REF!+#REF!+#REF!</f>
        <v>#REF!</v>
      </c>
      <c r="I93" s="29" t="e">
        <f>#REF!+#REF!+#REF!+#REF!+#REF!+#REF!+#REF!+#REF!+#REF!+#REF!+#REF!+#REF!+#REF!+#REF!+#REF!+#REF!+#REF!+#REF!+#REF!+#REF!+#REF!+#REF!+#REF!+#REF!+#REF!+#REF!+#REF!+#REF!+#REF!+#REF!+#REF!</f>
        <v>#REF!</v>
      </c>
      <c r="J93" s="15" t="e">
        <f t="shared" si="5"/>
        <v>#REF!</v>
      </c>
      <c r="K93" s="11"/>
      <c r="L93" s="16"/>
      <c r="M93" s="66"/>
      <c r="N93" s="71"/>
      <c r="O93" s="72"/>
      <c r="P93" s="72"/>
      <c r="Q93" s="73"/>
      <c r="R93" s="44"/>
    </row>
    <row r="94" spans="1:18" ht="9" customHeight="1">
      <c r="A94" s="10"/>
      <c r="B94" s="91"/>
      <c r="C94" s="47" t="s">
        <v>117</v>
      </c>
      <c r="D94" s="11"/>
      <c r="E94" s="29" t="e">
        <f>#REF!+#REF!+#REF!+#REF!+#REF!+#REF!+#REF!+#REF!+#REF!+#REF!+#REF!+#REF!+#REF!+#REF!+#REF!+#REF!+#REF!+#REF!+#REF!+#REF!+#REF!+#REF!+#REF!+#REF!+#REF!+#REF!+#REF!+#REF!+#REF!+#REF!+#REF!</f>
        <v>#REF!</v>
      </c>
      <c r="F94" s="29" t="e">
        <f>#REF!+#REF!+#REF!+#REF!+#REF!+#REF!+#REF!+#REF!+#REF!+#REF!+#REF!+#REF!+#REF!+#REF!+#REF!+#REF!+#REF!+#REF!+#REF!+#REF!+#REF!+#REF!+#REF!+#REF!+#REF!+#REF!+#REF!+#REF!+#REF!+#REF!+#REF!</f>
        <v>#REF!</v>
      </c>
      <c r="G94" s="16" t="e">
        <f t="shared" si="4"/>
        <v>#REF!</v>
      </c>
      <c r="H94" s="29" t="e">
        <f>#REF!+#REF!+#REF!+#REF!+#REF!+#REF!+#REF!+#REF!+#REF!+#REF!+#REF!+#REF!+#REF!+#REF!+#REF!+#REF!+#REF!+#REF!+#REF!+#REF!+#REF!+#REF!+#REF!+#REF!+#REF!+#REF!+#REF!+#REF!+#REF!+#REF!+#REF!</f>
        <v>#REF!</v>
      </c>
      <c r="I94" s="29" t="e">
        <f>#REF!+#REF!+#REF!+#REF!+#REF!+#REF!+#REF!+#REF!+#REF!+#REF!+#REF!+#REF!+#REF!+#REF!+#REF!+#REF!+#REF!+#REF!+#REF!+#REF!+#REF!+#REF!+#REF!+#REF!+#REF!+#REF!+#REF!+#REF!+#REF!+#REF!+#REF!</f>
        <v>#REF!</v>
      </c>
      <c r="J94" s="15" t="e">
        <f t="shared" si="5"/>
        <v>#REF!</v>
      </c>
      <c r="K94" s="11"/>
      <c r="L94" s="16"/>
      <c r="M94" s="66"/>
      <c r="N94" s="71"/>
      <c r="O94" s="72"/>
      <c r="P94" s="72"/>
      <c r="Q94" s="73"/>
      <c r="R94" s="44"/>
    </row>
    <row r="95" spans="1:18" ht="9" customHeight="1">
      <c r="A95" s="10"/>
      <c r="B95" s="91"/>
      <c r="C95" s="47" t="s">
        <v>118</v>
      </c>
      <c r="D95" s="11"/>
      <c r="E95" s="29" t="e">
        <f>#REF!+#REF!+#REF!+#REF!+#REF!+#REF!+#REF!+#REF!+#REF!+#REF!+#REF!+#REF!+#REF!+#REF!+#REF!+#REF!+#REF!+#REF!+#REF!+#REF!+#REF!+#REF!+#REF!+#REF!+#REF!+#REF!+#REF!+#REF!+#REF!+#REF!+#REF!</f>
        <v>#REF!</v>
      </c>
      <c r="F95" s="29" t="e">
        <f>#REF!+#REF!+#REF!+#REF!+#REF!+#REF!+#REF!+#REF!+#REF!+#REF!+#REF!+#REF!+#REF!+#REF!+#REF!+#REF!+#REF!+#REF!+#REF!+#REF!+#REF!+#REF!+#REF!+#REF!+#REF!+#REF!+#REF!+#REF!+#REF!+#REF!+#REF!</f>
        <v>#REF!</v>
      </c>
      <c r="G95" s="16" t="e">
        <f t="shared" si="4"/>
        <v>#REF!</v>
      </c>
      <c r="H95" s="29" t="e">
        <f>#REF!+#REF!+#REF!+#REF!+#REF!+#REF!+#REF!+#REF!+#REF!+#REF!+#REF!+#REF!+#REF!+#REF!+#REF!+#REF!+#REF!+#REF!+#REF!+#REF!+#REF!+#REF!+#REF!+#REF!+#REF!+#REF!+#REF!+#REF!+#REF!+#REF!+#REF!</f>
        <v>#REF!</v>
      </c>
      <c r="I95" s="29" t="e">
        <f>#REF!+#REF!+#REF!+#REF!+#REF!+#REF!+#REF!+#REF!+#REF!+#REF!+#REF!+#REF!+#REF!+#REF!+#REF!+#REF!+#REF!+#REF!+#REF!+#REF!+#REF!+#REF!+#REF!+#REF!+#REF!+#REF!+#REF!+#REF!+#REF!+#REF!+#REF!</f>
        <v>#REF!</v>
      </c>
      <c r="J95" s="15" t="e">
        <f t="shared" si="5"/>
        <v>#REF!</v>
      </c>
      <c r="K95" s="11"/>
      <c r="L95" s="16"/>
      <c r="M95" s="66"/>
      <c r="N95" s="71"/>
      <c r="O95" s="72"/>
      <c r="P95" s="72"/>
      <c r="Q95" s="73"/>
      <c r="R95" s="44"/>
    </row>
    <row r="96" spans="1:18" ht="9" customHeight="1">
      <c r="A96" s="10"/>
      <c r="B96" s="91"/>
      <c r="C96" s="47"/>
      <c r="D96" s="11"/>
      <c r="E96" s="29"/>
      <c r="F96" s="29"/>
      <c r="G96" s="16"/>
      <c r="H96" s="29"/>
      <c r="I96" s="29"/>
      <c r="J96" s="49"/>
      <c r="K96" s="11"/>
      <c r="L96" s="16"/>
      <c r="M96" s="66"/>
      <c r="N96" s="71"/>
      <c r="O96" s="72"/>
      <c r="P96" s="72"/>
      <c r="Q96" s="73"/>
      <c r="R96" s="44"/>
    </row>
    <row r="97" spans="1:17" ht="9" customHeight="1">
      <c r="A97" s="11"/>
      <c r="B97" s="11"/>
      <c r="C97" s="36"/>
      <c r="D97" s="27">
        <f>SUM(D6:D91)</f>
        <v>0</v>
      </c>
      <c r="E97" s="27" t="e">
        <f>SUM(E6:E91)</f>
        <v>#REF!</v>
      </c>
      <c r="F97" s="27" t="e">
        <f t="shared" ref="F97:L97" si="7">SUM(F6:F91)</f>
        <v>#REF!</v>
      </c>
      <c r="G97" s="27" t="e">
        <f t="shared" si="7"/>
        <v>#REF!</v>
      </c>
      <c r="H97" s="27" t="e">
        <f>SUM(H6:H92)</f>
        <v>#REF!</v>
      </c>
      <c r="I97" s="27" t="e">
        <f t="shared" si="7"/>
        <v>#REF!</v>
      </c>
      <c r="J97" s="27" t="e">
        <f t="shared" si="7"/>
        <v>#REF!</v>
      </c>
      <c r="K97" s="27">
        <f t="shared" si="7"/>
        <v>-857556.17</v>
      </c>
      <c r="L97" s="27" t="e">
        <f t="shared" si="7"/>
        <v>#REF!</v>
      </c>
      <c r="M97" s="8"/>
      <c r="N97" s="71"/>
      <c r="O97" s="74"/>
      <c r="P97" s="74"/>
      <c r="Q97" s="75"/>
    </row>
    <row r="98" spans="1:17" ht="7.8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7" ht="12.6" customHeight="1">
      <c r="B99" s="126" t="s">
        <v>35</v>
      </c>
      <c r="C99" s="126"/>
      <c r="D99" s="127" t="s">
        <v>66</v>
      </c>
      <c r="E99" s="127"/>
      <c r="F99" s="127"/>
      <c r="G99" s="9"/>
      <c r="H99" s="127" t="s">
        <v>36</v>
      </c>
      <c r="I99" s="127"/>
      <c r="J99" s="127"/>
      <c r="K99" s="7"/>
      <c r="L99" s="58" t="s">
        <v>37</v>
      </c>
      <c r="M99" s="58"/>
      <c r="O99" s="55" t="s">
        <v>110</v>
      </c>
      <c r="P99" s="54">
        <v>79909923</v>
      </c>
    </row>
    <row r="100" spans="1:17">
      <c r="P100" s="54">
        <f>P99-P97</f>
        <v>79909923</v>
      </c>
    </row>
    <row r="103" spans="1:17">
      <c r="C103" s="13"/>
      <c r="D103" s="13"/>
    </row>
    <row r="104" spans="1:17">
      <c r="C104" s="13"/>
      <c r="D104" s="13"/>
    </row>
  </sheetData>
  <mergeCells count="9">
    <mergeCell ref="B99:C99"/>
    <mergeCell ref="D99:F99"/>
    <mergeCell ref="H99:J99"/>
    <mergeCell ref="A1:M1"/>
    <mergeCell ref="A2:M2"/>
    <mergeCell ref="A3:M3"/>
    <mergeCell ref="A4:C4"/>
    <mergeCell ref="B6:B33"/>
    <mergeCell ref="B34:B92"/>
  </mergeCells>
  <pageMargins left="0.2" right="0.2" top="0" bottom="0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5" activePane="bottomLeft" state="frozen"/>
      <selection pane="bottomLeft" activeCell="E33" sqref="E33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137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7751</v>
      </c>
      <c r="E6" s="15"/>
      <c r="F6" s="16"/>
      <c r="G6" s="15">
        <f>D6+E6-F6</f>
        <v>7751</v>
      </c>
      <c r="H6" s="15">
        <v>7624</v>
      </c>
      <c r="I6" s="16"/>
      <c r="J6" s="15">
        <f>G6-H6-I6</f>
        <v>127</v>
      </c>
      <c r="K6" s="15">
        <v>0</v>
      </c>
      <c r="L6" s="15">
        <f>J6+K6</f>
        <v>127</v>
      </c>
      <c r="M6" s="30" t="s">
        <v>75</v>
      </c>
      <c r="N6" s="99">
        <v>21.5</v>
      </c>
      <c r="O6" s="50">
        <f>L6*N6</f>
        <v>2730.5</v>
      </c>
      <c r="P6" s="50">
        <f>J6*N6</f>
        <v>2730.5</v>
      </c>
      <c r="Q6" s="43">
        <f>O6-P6</f>
        <v>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100950</v>
      </c>
      <c r="E7" s="15"/>
      <c r="F7" s="15"/>
      <c r="G7" s="15">
        <f t="shared" ref="G7:G80" si="0">D7+E7-F7</f>
        <v>100950</v>
      </c>
      <c r="H7" s="15">
        <v>2918</v>
      </c>
      <c r="I7" s="15"/>
      <c r="J7" s="15">
        <f t="shared" ref="J7:J70" si="1">G7-H7-I7</f>
        <v>98032</v>
      </c>
      <c r="K7" s="15">
        <v>-5000</v>
      </c>
      <c r="L7" s="15">
        <f t="shared" ref="L7:L87" si="2">J7+K7</f>
        <v>93032</v>
      </c>
      <c r="M7" s="30" t="s">
        <v>75</v>
      </c>
      <c r="N7" s="99">
        <v>38</v>
      </c>
      <c r="O7" s="50">
        <f t="shared" ref="O7:O70" si="3">L7*N7</f>
        <v>3535216</v>
      </c>
      <c r="P7" s="50">
        <f t="shared" ref="P7:P70" si="4">J7*N7</f>
        <v>3725216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29962</v>
      </c>
      <c r="E8" s="15"/>
      <c r="F8" s="15"/>
      <c r="G8" s="15">
        <f t="shared" si="0"/>
        <v>29962</v>
      </c>
      <c r="H8" s="15">
        <v>83</v>
      </c>
      <c r="I8" s="15"/>
      <c r="J8" s="15">
        <f t="shared" si="1"/>
        <v>29879</v>
      </c>
      <c r="K8" s="15">
        <v>0</v>
      </c>
      <c r="L8" s="15">
        <f t="shared" si="2"/>
        <v>29879</v>
      </c>
      <c r="M8" s="30" t="s">
        <v>75</v>
      </c>
      <c r="N8" s="99">
        <v>12</v>
      </c>
      <c r="O8" s="50">
        <f t="shared" si="3"/>
        <v>358548</v>
      </c>
      <c r="P8" s="50">
        <f t="shared" si="4"/>
        <v>358548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676592</v>
      </c>
      <c r="E10" s="15"/>
      <c r="F10" s="15"/>
      <c r="G10" s="15">
        <f t="shared" si="0"/>
        <v>676592</v>
      </c>
      <c r="H10" s="15"/>
      <c r="I10" s="15"/>
      <c r="J10" s="15">
        <f t="shared" si="1"/>
        <v>676592</v>
      </c>
      <c r="K10" s="15">
        <v>-607000</v>
      </c>
      <c r="L10" s="15">
        <f t="shared" si="2"/>
        <v>69592</v>
      </c>
      <c r="M10" s="30"/>
      <c r="N10" s="99">
        <v>23.09</v>
      </c>
      <c r="O10" s="50">
        <f t="shared" si="3"/>
        <v>1606879.28</v>
      </c>
      <c r="P10" s="50">
        <f t="shared" si="4"/>
        <v>15622509.279999999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-6877</v>
      </c>
      <c r="E11" s="15"/>
      <c r="F11" s="15"/>
      <c r="G11" s="15">
        <f t="shared" si="0"/>
        <v>-6877</v>
      </c>
      <c r="H11" s="15">
        <v>11</v>
      </c>
      <c r="I11" s="15"/>
      <c r="J11" s="15">
        <f t="shared" si="1"/>
        <v>-6888</v>
      </c>
      <c r="K11" s="15">
        <v>2000</v>
      </c>
      <c r="L11" s="15">
        <f t="shared" si="2"/>
        <v>-4888</v>
      </c>
      <c r="M11" s="30" t="s">
        <v>75</v>
      </c>
      <c r="N11" s="99">
        <v>16.5</v>
      </c>
      <c r="O11" s="50">
        <f t="shared" si="3"/>
        <v>-80652</v>
      </c>
      <c r="P11" s="50">
        <f t="shared" si="4"/>
        <v>-113652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-4391</v>
      </c>
      <c r="E13" s="15"/>
      <c r="F13" s="15"/>
      <c r="G13" s="15">
        <f t="shared" si="0"/>
        <v>-4391</v>
      </c>
      <c r="H13" s="15"/>
      <c r="I13" s="15"/>
      <c r="J13" s="15">
        <f t="shared" si="1"/>
        <v>-4391</v>
      </c>
      <c r="K13" s="15">
        <v>5000</v>
      </c>
      <c r="L13" s="15">
        <f t="shared" si="2"/>
        <v>609</v>
      </c>
      <c r="M13" s="30" t="s">
        <v>75</v>
      </c>
      <c r="N13" s="99">
        <v>27.5</v>
      </c>
      <c r="O13" s="50">
        <f t="shared" si="3"/>
        <v>16747.5</v>
      </c>
      <c r="P13" s="50">
        <f t="shared" si="4"/>
        <v>-120752.5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16062</v>
      </c>
      <c r="E14" s="15"/>
      <c r="F14" s="15"/>
      <c r="G14" s="15">
        <f t="shared" si="0"/>
        <v>16062</v>
      </c>
      <c r="H14" s="15"/>
      <c r="I14" s="16"/>
      <c r="J14" s="15">
        <f t="shared" si="1"/>
        <v>16062</v>
      </c>
      <c r="K14" s="15">
        <v>-1000</v>
      </c>
      <c r="L14" s="15">
        <f t="shared" si="2"/>
        <v>15062</v>
      </c>
      <c r="M14" s="30"/>
      <c r="N14" s="99">
        <v>59</v>
      </c>
      <c r="O14" s="50">
        <f t="shared" si="3"/>
        <v>888658</v>
      </c>
      <c r="P14" s="50">
        <f t="shared" si="4"/>
        <v>947658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34638</v>
      </c>
      <c r="E16" s="29"/>
      <c r="F16" s="15"/>
      <c r="G16" s="15">
        <f t="shared" si="0"/>
        <v>34638</v>
      </c>
      <c r="H16" s="15">
        <v>414</v>
      </c>
      <c r="I16" s="16"/>
      <c r="J16" s="15">
        <f t="shared" si="1"/>
        <v>34224</v>
      </c>
      <c r="K16" s="15">
        <v>0</v>
      </c>
      <c r="L16" s="15">
        <f>J16+K16</f>
        <v>34224</v>
      </c>
      <c r="M16" s="30"/>
      <c r="N16" s="99">
        <v>43.25</v>
      </c>
      <c r="O16" s="50">
        <f t="shared" si="3"/>
        <v>1480188</v>
      </c>
      <c r="P16" s="50">
        <f t="shared" si="4"/>
        <v>1480188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18517</v>
      </c>
      <c r="E19" s="15"/>
      <c r="F19" s="15"/>
      <c r="G19" s="15">
        <f t="shared" si="0"/>
        <v>18517</v>
      </c>
      <c r="H19" s="15"/>
      <c r="I19" s="16"/>
      <c r="J19" s="15">
        <f t="shared" si="1"/>
        <v>18517</v>
      </c>
      <c r="K19" s="15">
        <v>1000</v>
      </c>
      <c r="L19" s="15">
        <f t="shared" si="2"/>
        <v>19517</v>
      </c>
      <c r="M19" s="30"/>
      <c r="N19" s="99">
        <v>22.8</v>
      </c>
      <c r="O19" s="50">
        <f t="shared" si="3"/>
        <v>444987.60000000003</v>
      </c>
      <c r="P19" s="50">
        <f t="shared" si="4"/>
        <v>422187.60000000003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10257</v>
      </c>
      <c r="E20" s="15"/>
      <c r="F20" s="15"/>
      <c r="G20" s="15">
        <f t="shared" si="0"/>
        <v>10257</v>
      </c>
      <c r="H20" s="15"/>
      <c r="I20" s="16"/>
      <c r="J20" s="15">
        <f t="shared" si="1"/>
        <v>10257</v>
      </c>
      <c r="K20" s="15">
        <v>0</v>
      </c>
      <c r="L20" s="15">
        <f t="shared" si="2"/>
        <v>10257</v>
      </c>
      <c r="M20" s="30" t="s">
        <v>75</v>
      </c>
      <c r="N20" s="99">
        <v>20</v>
      </c>
      <c r="O20" s="50">
        <f t="shared" si="3"/>
        <v>205140</v>
      </c>
      <c r="P20" s="50">
        <f t="shared" si="4"/>
        <v>205140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8775</v>
      </c>
      <c r="E21" s="15"/>
      <c r="F21" s="15"/>
      <c r="G21" s="15">
        <f t="shared" si="0"/>
        <v>8775</v>
      </c>
      <c r="H21" s="15"/>
      <c r="I21" s="16"/>
      <c r="J21" s="15">
        <f t="shared" si="1"/>
        <v>8775</v>
      </c>
      <c r="K21" s="15">
        <v>0</v>
      </c>
      <c r="L21" s="15">
        <f t="shared" si="2"/>
        <v>8775</v>
      </c>
      <c r="M21" s="30"/>
      <c r="N21" s="99">
        <v>8.5</v>
      </c>
      <c r="O21" s="50">
        <f t="shared" si="3"/>
        <v>74587.5</v>
      </c>
      <c r="P21" s="50">
        <f t="shared" si="4"/>
        <v>74587.5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258328</v>
      </c>
      <c r="E22" s="15"/>
      <c r="F22" s="15"/>
      <c r="G22" s="15">
        <f t="shared" si="0"/>
        <v>258328</v>
      </c>
      <c r="H22" s="15">
        <v>1234</v>
      </c>
      <c r="I22" s="16"/>
      <c r="J22" s="15">
        <f t="shared" si="1"/>
        <v>257094</v>
      </c>
      <c r="K22" s="15">
        <v>8000</v>
      </c>
      <c r="L22" s="15">
        <f t="shared" si="2"/>
        <v>265094</v>
      </c>
      <c r="M22" s="30"/>
      <c r="N22" s="99">
        <v>8.5</v>
      </c>
      <c r="O22" s="50">
        <f t="shared" si="3"/>
        <v>2253299</v>
      </c>
      <c r="P22" s="50">
        <f t="shared" si="4"/>
        <v>2185299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6097</v>
      </c>
      <c r="E23" s="15"/>
      <c r="F23" s="15"/>
      <c r="G23" s="15">
        <f t="shared" si="0"/>
        <v>6097</v>
      </c>
      <c r="H23" s="15">
        <v>155</v>
      </c>
      <c r="I23" s="16"/>
      <c r="J23" s="15">
        <f t="shared" si="1"/>
        <v>5942</v>
      </c>
      <c r="K23" s="15">
        <v>1500</v>
      </c>
      <c r="L23" s="15">
        <f t="shared" si="2"/>
        <v>7442</v>
      </c>
      <c r="M23" s="30" t="s">
        <v>75</v>
      </c>
      <c r="N23" s="99">
        <v>82</v>
      </c>
      <c r="O23" s="50">
        <f t="shared" si="3"/>
        <v>610244</v>
      </c>
      <c r="P23" s="50">
        <f t="shared" si="4"/>
        <v>487244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20764</v>
      </c>
      <c r="E24" s="29"/>
      <c r="F24" s="29"/>
      <c r="G24" s="15">
        <f t="shared" si="0"/>
        <v>20764</v>
      </c>
      <c r="H24" s="15"/>
      <c r="I24" s="16"/>
      <c r="J24" s="15">
        <f t="shared" si="1"/>
        <v>20764</v>
      </c>
      <c r="K24" s="15">
        <v>2713</v>
      </c>
      <c r="L24" s="15">
        <f t="shared" si="2"/>
        <v>23477</v>
      </c>
      <c r="M24" s="30"/>
      <c r="N24" s="99">
        <v>22.1</v>
      </c>
      <c r="O24" s="50">
        <f t="shared" si="3"/>
        <v>518841.7</v>
      </c>
      <c r="P24" s="50">
        <f t="shared" si="4"/>
        <v>458884.4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12018</v>
      </c>
      <c r="E26" s="15"/>
      <c r="F26" s="15"/>
      <c r="G26" s="15">
        <f t="shared" si="0"/>
        <v>12018</v>
      </c>
      <c r="H26" s="15">
        <v>371</v>
      </c>
      <c r="I26" s="16"/>
      <c r="J26" s="76">
        <f t="shared" si="1"/>
        <v>11647</v>
      </c>
      <c r="K26" s="76">
        <v>0</v>
      </c>
      <c r="L26" s="76">
        <f t="shared" si="2"/>
        <v>11647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10051</v>
      </c>
      <c r="E31" s="15"/>
      <c r="F31" s="15"/>
      <c r="G31" s="15">
        <f t="shared" si="0"/>
        <v>10051</v>
      </c>
      <c r="H31" s="15"/>
      <c r="I31" s="16"/>
      <c r="J31" s="76">
        <f t="shared" si="1"/>
        <v>10051</v>
      </c>
      <c r="K31" s="76">
        <v>0</v>
      </c>
      <c r="L31" s="76">
        <f t="shared" si="2"/>
        <v>10051</v>
      </c>
      <c r="M31" s="78"/>
      <c r="N31" s="99">
        <v>60</v>
      </c>
      <c r="O31" s="50">
        <f t="shared" si="3"/>
        <v>603060</v>
      </c>
      <c r="P31" s="50">
        <f t="shared" si="4"/>
        <v>603060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74</v>
      </c>
      <c r="D32" s="15">
        <v>0</v>
      </c>
      <c r="E32" s="15"/>
      <c r="F32" s="15"/>
      <c r="G32" s="15">
        <f t="shared" si="0"/>
        <v>0</v>
      </c>
      <c r="H32" s="15"/>
      <c r="I32" s="16"/>
      <c r="J32" s="76">
        <f t="shared" si="1"/>
        <v>0</v>
      </c>
      <c r="K32" s="76"/>
      <c r="L32" s="76">
        <f t="shared" si="2"/>
        <v>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17279</v>
      </c>
      <c r="E33" s="15"/>
      <c r="F33" s="15"/>
      <c r="G33" s="15">
        <f t="shared" si="0"/>
        <v>17279</v>
      </c>
      <c r="H33" s="15">
        <v>33</v>
      </c>
      <c r="I33" s="16"/>
      <c r="J33" s="76">
        <f t="shared" si="1"/>
        <v>17246</v>
      </c>
      <c r="K33" s="76">
        <v>206</v>
      </c>
      <c r="L33" s="76">
        <f t="shared" si="2"/>
        <v>17452</v>
      </c>
      <c r="M33" s="30"/>
      <c r="N33" s="99">
        <v>12.49</v>
      </c>
      <c r="O33" s="50">
        <f t="shared" si="3"/>
        <v>217975.48</v>
      </c>
      <c r="P33" s="50">
        <f t="shared" si="4"/>
        <v>215402.54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258</v>
      </c>
      <c r="E34" s="15"/>
      <c r="F34" s="15"/>
      <c r="G34" s="15">
        <f t="shared" si="0"/>
        <v>258</v>
      </c>
      <c r="H34" s="15">
        <v>1</v>
      </c>
      <c r="I34" s="16"/>
      <c r="J34" s="76">
        <f t="shared" si="1"/>
        <v>257</v>
      </c>
      <c r="K34" s="76">
        <v>-50</v>
      </c>
      <c r="L34" s="76">
        <f t="shared" si="2"/>
        <v>207</v>
      </c>
      <c r="M34" s="77"/>
      <c r="N34" s="99">
        <v>435</v>
      </c>
      <c r="O34" s="50">
        <f t="shared" si="3"/>
        <v>90045</v>
      </c>
      <c r="P34" s="50">
        <f t="shared" si="4"/>
        <v>111795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191</v>
      </c>
      <c r="E35" s="15"/>
      <c r="F35" s="15"/>
      <c r="G35" s="15">
        <f t="shared" si="0"/>
        <v>191</v>
      </c>
      <c r="H35" s="15"/>
      <c r="I35" s="16"/>
      <c r="J35" s="76">
        <f>G35-H35-I35</f>
        <v>191</v>
      </c>
      <c r="K35" s="76">
        <v>-50</v>
      </c>
      <c r="L35" s="76">
        <f t="shared" si="2"/>
        <v>141</v>
      </c>
      <c r="M35" s="84"/>
      <c r="N35" s="99">
        <v>730</v>
      </c>
      <c r="O35" s="50">
        <f t="shared" si="3"/>
        <v>102930</v>
      </c>
      <c r="P35" s="50">
        <f t="shared" si="4"/>
        <v>139430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383</v>
      </c>
      <c r="E36" s="15"/>
      <c r="F36" s="15"/>
      <c r="G36" s="15">
        <f t="shared" si="0"/>
        <v>383</v>
      </c>
      <c r="H36" s="16">
        <v>2</v>
      </c>
      <c r="I36" s="16"/>
      <c r="J36" s="76">
        <f t="shared" si="1"/>
        <v>381</v>
      </c>
      <c r="K36" s="76">
        <v>-125</v>
      </c>
      <c r="L36" s="76">
        <f t="shared" si="2"/>
        <v>256</v>
      </c>
      <c r="M36" s="84"/>
      <c r="N36" s="99">
        <v>155</v>
      </c>
      <c r="O36" s="50">
        <f t="shared" si="3"/>
        <v>39680</v>
      </c>
      <c r="P36" s="50">
        <f t="shared" si="4"/>
        <v>59055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1404</v>
      </c>
      <c r="E37" s="15"/>
      <c r="F37" s="15"/>
      <c r="G37" s="15">
        <f t="shared" si="0"/>
        <v>1404</v>
      </c>
      <c r="H37" s="16"/>
      <c r="I37" s="16"/>
      <c r="J37" s="76">
        <f t="shared" si="1"/>
        <v>1404</v>
      </c>
      <c r="K37" s="76">
        <v>0</v>
      </c>
      <c r="L37" s="76">
        <f t="shared" si="2"/>
        <v>1404</v>
      </c>
      <c r="M37" s="84"/>
      <c r="N37" s="99">
        <v>125</v>
      </c>
      <c r="O37" s="50">
        <f t="shared" si="3"/>
        <v>175500</v>
      </c>
      <c r="P37" s="50">
        <f t="shared" si="4"/>
        <v>175500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252</v>
      </c>
      <c r="E39" s="15"/>
      <c r="F39" s="15"/>
      <c r="G39" s="15">
        <f t="shared" si="0"/>
        <v>252</v>
      </c>
      <c r="H39" s="16"/>
      <c r="I39" s="16"/>
      <c r="J39" s="76">
        <f t="shared" si="1"/>
        <v>252</v>
      </c>
      <c r="K39" s="76">
        <v>-70</v>
      </c>
      <c r="L39" s="76">
        <f t="shared" si="2"/>
        <v>182</v>
      </c>
      <c r="M39" s="84"/>
      <c r="N39" s="99">
        <v>975</v>
      </c>
      <c r="O39" s="50">
        <f t="shared" si="3"/>
        <v>177450</v>
      </c>
      <c r="P39" s="50">
        <f t="shared" si="4"/>
        <v>245700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341</v>
      </c>
      <c r="E41" s="15"/>
      <c r="F41" s="15"/>
      <c r="G41" s="15">
        <f t="shared" si="0"/>
        <v>341</v>
      </c>
      <c r="H41" s="16">
        <v>10</v>
      </c>
      <c r="I41" s="16"/>
      <c r="J41" s="76">
        <f t="shared" si="1"/>
        <v>331</v>
      </c>
      <c r="K41" s="76">
        <v>500</v>
      </c>
      <c r="L41" s="76">
        <f t="shared" si="2"/>
        <v>831</v>
      </c>
      <c r="M41" s="84"/>
      <c r="N41" s="99">
        <v>125</v>
      </c>
      <c r="O41" s="50">
        <f t="shared" si="3"/>
        <v>103875</v>
      </c>
      <c r="P41" s="50">
        <f t="shared" si="4"/>
        <v>41375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10956</v>
      </c>
      <c r="E44" s="15"/>
      <c r="F44" s="15"/>
      <c r="G44" s="15">
        <f t="shared" si="0"/>
        <v>10956</v>
      </c>
      <c r="H44" s="16"/>
      <c r="I44" s="16"/>
      <c r="J44" s="76">
        <f t="shared" si="1"/>
        <v>10956</v>
      </c>
      <c r="K44" s="76">
        <v>2200</v>
      </c>
      <c r="L44" s="76">
        <f t="shared" si="2"/>
        <v>13156</v>
      </c>
      <c r="M44" s="84"/>
      <c r="N44" s="99">
        <v>80</v>
      </c>
      <c r="O44" s="50">
        <f t="shared" si="3"/>
        <v>1052480</v>
      </c>
      <c r="P44" s="50">
        <f t="shared" si="4"/>
        <v>876480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17176</v>
      </c>
      <c r="E46" s="15"/>
      <c r="F46" s="15"/>
      <c r="G46" s="15">
        <f t="shared" si="0"/>
        <v>17176</v>
      </c>
      <c r="H46" s="16">
        <v>28</v>
      </c>
      <c r="I46" s="16"/>
      <c r="J46" s="76">
        <f t="shared" si="1"/>
        <v>17148</v>
      </c>
      <c r="K46" s="76">
        <v>-180</v>
      </c>
      <c r="L46" s="76">
        <f t="shared" si="2"/>
        <v>16968</v>
      </c>
      <c r="M46" s="84"/>
      <c r="N46" s="99">
        <v>275</v>
      </c>
      <c r="O46" s="50">
        <f t="shared" si="3"/>
        <v>4666200</v>
      </c>
      <c r="P46" s="50">
        <f t="shared" si="4"/>
        <v>4715700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191</v>
      </c>
      <c r="E49" s="15"/>
      <c r="F49" s="15"/>
      <c r="G49" s="15">
        <f t="shared" si="0"/>
        <v>191</v>
      </c>
      <c r="H49" s="15"/>
      <c r="I49" s="16"/>
      <c r="J49" s="76">
        <f t="shared" si="1"/>
        <v>191</v>
      </c>
      <c r="K49" s="76">
        <v>0</v>
      </c>
      <c r="L49" s="76">
        <f t="shared" si="2"/>
        <v>191</v>
      </c>
      <c r="M49" s="84"/>
      <c r="N49" s="99">
        <v>800</v>
      </c>
      <c r="O49" s="50">
        <f t="shared" si="3"/>
        <v>152800</v>
      </c>
      <c r="P49" s="50">
        <f t="shared" si="4"/>
        <v>152800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109</v>
      </c>
      <c r="E53" s="15"/>
      <c r="F53" s="15"/>
      <c r="G53" s="15">
        <f t="shared" si="0"/>
        <v>109</v>
      </c>
      <c r="H53" s="15">
        <v>1</v>
      </c>
      <c r="I53" s="20"/>
      <c r="J53" s="76">
        <f t="shared" si="1"/>
        <v>108</v>
      </c>
      <c r="K53" s="76">
        <v>0</v>
      </c>
      <c r="L53" s="76">
        <f t="shared" si="2"/>
        <v>108</v>
      </c>
      <c r="M53" s="84"/>
      <c r="N53" s="99">
        <v>1600</v>
      </c>
      <c r="O53" s="50">
        <f t="shared" si="3"/>
        <v>172800</v>
      </c>
      <c r="P53" s="50">
        <f t="shared" si="4"/>
        <v>172800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774</v>
      </c>
      <c r="E54" s="15"/>
      <c r="F54" s="15"/>
      <c r="G54" s="15">
        <f t="shared" si="0"/>
        <v>774</v>
      </c>
      <c r="H54" s="15"/>
      <c r="I54" s="16"/>
      <c r="J54" s="76">
        <f t="shared" si="1"/>
        <v>774</v>
      </c>
      <c r="K54" s="76">
        <v>-350</v>
      </c>
      <c r="L54" s="76">
        <f t="shared" si="2"/>
        <v>424</v>
      </c>
      <c r="M54" s="84"/>
      <c r="N54" s="99">
        <v>375</v>
      </c>
      <c r="O54" s="50">
        <f t="shared" si="3"/>
        <v>159000</v>
      </c>
      <c r="P54" s="50">
        <f t="shared" si="4"/>
        <v>290250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143</v>
      </c>
      <c r="E55" s="15"/>
      <c r="F55" s="15"/>
      <c r="G55" s="15">
        <f t="shared" si="0"/>
        <v>143</v>
      </c>
      <c r="H55" s="15"/>
      <c r="I55" s="21"/>
      <c r="J55" s="76">
        <f t="shared" si="1"/>
        <v>143</v>
      </c>
      <c r="K55" s="76">
        <v>9</v>
      </c>
      <c r="L55" s="76">
        <f t="shared" si="2"/>
        <v>152</v>
      </c>
      <c r="M55" s="30"/>
      <c r="N55" s="99">
        <v>425</v>
      </c>
      <c r="O55" s="50">
        <f t="shared" si="3"/>
        <v>64600</v>
      </c>
      <c r="P55" s="50">
        <f t="shared" si="4"/>
        <v>60775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278</v>
      </c>
      <c r="E56" s="15"/>
      <c r="F56" s="15"/>
      <c r="G56" s="15">
        <f t="shared" si="0"/>
        <v>278</v>
      </c>
      <c r="H56" s="15">
        <v>4</v>
      </c>
      <c r="I56" s="22"/>
      <c r="J56" s="76">
        <f t="shared" si="1"/>
        <v>274</v>
      </c>
      <c r="K56" s="76">
        <v>-220</v>
      </c>
      <c r="L56" s="76">
        <f t="shared" si="2"/>
        <v>54</v>
      </c>
      <c r="M56" s="84"/>
      <c r="N56" s="99">
        <v>390</v>
      </c>
      <c r="O56" s="50">
        <f t="shared" si="3"/>
        <v>21060</v>
      </c>
      <c r="P56" s="50">
        <f t="shared" si="4"/>
        <v>106860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108</v>
      </c>
      <c r="E58" s="15"/>
      <c r="F58" s="15"/>
      <c r="G58" s="15">
        <f t="shared" si="0"/>
        <v>108</v>
      </c>
      <c r="H58" s="15">
        <v>1</v>
      </c>
      <c r="I58" s="16"/>
      <c r="J58" s="76">
        <f t="shared" si="1"/>
        <v>107</v>
      </c>
      <c r="K58" s="76">
        <v>0</v>
      </c>
      <c r="L58" s="76">
        <f t="shared" si="2"/>
        <v>107</v>
      </c>
      <c r="M58" s="30"/>
      <c r="N58" s="99">
        <v>132</v>
      </c>
      <c r="O58" s="50">
        <f t="shared" si="3"/>
        <v>14124</v>
      </c>
      <c r="P58" s="50">
        <f t="shared" si="4"/>
        <v>14124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370</v>
      </c>
      <c r="E59" s="15"/>
      <c r="F59" s="15"/>
      <c r="G59" s="15">
        <f t="shared" si="0"/>
        <v>370</v>
      </c>
      <c r="H59" s="15">
        <v>8</v>
      </c>
      <c r="I59" s="16"/>
      <c r="J59" s="76">
        <f t="shared" si="1"/>
        <v>362</v>
      </c>
      <c r="K59" s="76">
        <v>0</v>
      </c>
      <c r="L59" s="76">
        <f t="shared" si="2"/>
        <v>362</v>
      </c>
      <c r="M59" s="84"/>
      <c r="N59" s="99">
        <v>570</v>
      </c>
      <c r="O59" s="50">
        <f t="shared" si="3"/>
        <v>206340</v>
      </c>
      <c r="P59" s="50">
        <f t="shared" si="4"/>
        <v>206340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16982</v>
      </c>
      <c r="E62" s="15"/>
      <c r="F62" s="15"/>
      <c r="G62" s="15">
        <f t="shared" si="0"/>
        <v>16982</v>
      </c>
      <c r="H62" s="15">
        <v>10</v>
      </c>
      <c r="I62" s="16"/>
      <c r="J62" s="76">
        <f t="shared" si="1"/>
        <v>16972</v>
      </c>
      <c r="K62" s="76">
        <v>187</v>
      </c>
      <c r="L62" s="76">
        <f t="shared" si="2"/>
        <v>17159</v>
      </c>
      <c r="M62" s="30"/>
      <c r="N62" s="99">
        <v>87.38</v>
      </c>
      <c r="O62" s="50">
        <f t="shared" si="3"/>
        <v>1499353.42</v>
      </c>
      <c r="P62" s="50">
        <f t="shared" si="4"/>
        <v>1483013.3599999999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33</v>
      </c>
      <c r="E63" s="15"/>
      <c r="F63" s="15"/>
      <c r="G63" s="15">
        <f t="shared" si="0"/>
        <v>33</v>
      </c>
      <c r="H63" s="15"/>
      <c r="I63" s="16"/>
      <c r="J63" s="76">
        <f t="shared" si="1"/>
        <v>33</v>
      </c>
      <c r="K63" s="76">
        <v>300</v>
      </c>
      <c r="L63" s="76">
        <f t="shared" si="2"/>
        <v>333</v>
      </c>
      <c r="M63" s="84"/>
      <c r="N63" s="99">
        <v>290</v>
      </c>
      <c r="O63" s="50">
        <f t="shared" si="3"/>
        <v>96570</v>
      </c>
      <c r="P63" s="50">
        <f t="shared" si="4"/>
        <v>9570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-5</v>
      </c>
      <c r="E64" s="23"/>
      <c r="F64" s="23"/>
      <c r="G64" s="23">
        <f t="shared" si="0"/>
        <v>-5</v>
      </c>
      <c r="H64" s="23"/>
      <c r="I64" s="23"/>
      <c r="J64" s="76">
        <f t="shared" si="1"/>
        <v>-5</v>
      </c>
      <c r="K64" s="79">
        <v>100</v>
      </c>
      <c r="L64" s="76">
        <f t="shared" si="2"/>
        <v>95</v>
      </c>
      <c r="M64" s="30"/>
      <c r="N64" s="99">
        <v>70</v>
      </c>
      <c r="O64" s="50">
        <f t="shared" si="3"/>
        <v>6650</v>
      </c>
      <c r="P64" s="50">
        <f t="shared" si="4"/>
        <v>-350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964</v>
      </c>
      <c r="E65" s="24"/>
      <c r="F65" s="24"/>
      <c r="G65" s="16">
        <f t="shared" si="0"/>
        <v>964</v>
      </c>
      <c r="H65" s="24">
        <v>16</v>
      </c>
      <c r="I65" s="24"/>
      <c r="J65" s="76">
        <f t="shared" si="1"/>
        <v>948</v>
      </c>
      <c r="K65" s="80">
        <v>-550</v>
      </c>
      <c r="L65" s="76">
        <f t="shared" si="2"/>
        <v>398</v>
      </c>
      <c r="M65" s="86"/>
      <c r="N65" s="99">
        <v>240</v>
      </c>
      <c r="O65" s="50">
        <f t="shared" si="3"/>
        <v>95520</v>
      </c>
      <c r="P65" s="50">
        <f t="shared" si="4"/>
        <v>227520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396</v>
      </c>
      <c r="E66" s="24"/>
      <c r="F66" s="24"/>
      <c r="G66" s="16">
        <f t="shared" si="0"/>
        <v>396</v>
      </c>
      <c r="H66" s="24"/>
      <c r="I66" s="24"/>
      <c r="J66" s="76">
        <f t="shared" si="1"/>
        <v>396</v>
      </c>
      <c r="K66" s="81">
        <v>0</v>
      </c>
      <c r="L66" s="81">
        <f t="shared" si="2"/>
        <v>396</v>
      </c>
      <c r="M66" s="86"/>
      <c r="N66" s="99">
        <v>1100</v>
      </c>
      <c r="O66" s="50">
        <f t="shared" si="3"/>
        <v>435600</v>
      </c>
      <c r="P66" s="50">
        <f t="shared" si="4"/>
        <v>435600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1441</v>
      </c>
      <c r="E67" s="24"/>
      <c r="F67" s="24"/>
      <c r="G67" s="16">
        <f t="shared" si="0"/>
        <v>1441</v>
      </c>
      <c r="H67" s="24">
        <v>141</v>
      </c>
      <c r="I67" s="24"/>
      <c r="J67" s="76">
        <f t="shared" si="1"/>
        <v>1300</v>
      </c>
      <c r="K67" s="80">
        <v>0</v>
      </c>
      <c r="L67" s="76">
        <f t="shared" si="2"/>
        <v>1300</v>
      </c>
      <c r="M67" s="84"/>
      <c r="N67" s="99">
        <v>53</v>
      </c>
      <c r="O67" s="50">
        <f t="shared" si="3"/>
        <v>68900</v>
      </c>
      <c r="P67" s="50">
        <f t="shared" si="4"/>
        <v>68900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476</v>
      </c>
      <c r="E70" s="24"/>
      <c r="F70" s="24"/>
      <c r="G70" s="16">
        <f t="shared" si="0"/>
        <v>476</v>
      </c>
      <c r="H70" s="24">
        <v>1</v>
      </c>
      <c r="I70" s="24"/>
      <c r="J70" s="76">
        <f t="shared" si="1"/>
        <v>475</v>
      </c>
      <c r="K70" s="80">
        <v>-153</v>
      </c>
      <c r="L70" s="76">
        <f t="shared" si="2"/>
        <v>322</v>
      </c>
      <c r="M70" s="86"/>
      <c r="N70" s="99">
        <v>260</v>
      </c>
      <c r="O70" s="50">
        <f t="shared" si="3"/>
        <v>83720</v>
      </c>
      <c r="P70" s="50">
        <f t="shared" si="4"/>
        <v>123500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4525</v>
      </c>
      <c r="E72" s="24"/>
      <c r="F72" s="24"/>
      <c r="G72" s="16">
        <f t="shared" si="0"/>
        <v>4525</v>
      </c>
      <c r="H72" s="24">
        <v>13</v>
      </c>
      <c r="I72" s="24"/>
      <c r="J72" s="76">
        <f t="shared" si="5"/>
        <v>4512</v>
      </c>
      <c r="K72" s="80">
        <v>-200</v>
      </c>
      <c r="L72" s="76">
        <f t="shared" si="2"/>
        <v>4312</v>
      </c>
      <c r="M72" s="30"/>
      <c r="N72" s="99">
        <v>39</v>
      </c>
      <c r="O72" s="50">
        <f t="shared" si="6"/>
        <v>168168</v>
      </c>
      <c r="P72" s="50">
        <f t="shared" si="7"/>
        <v>175968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19703</v>
      </c>
      <c r="E73" s="24"/>
      <c r="F73" s="24"/>
      <c r="G73" s="16">
        <f t="shared" si="0"/>
        <v>19703</v>
      </c>
      <c r="H73" s="24">
        <v>27</v>
      </c>
      <c r="I73" s="42"/>
      <c r="J73" s="76">
        <f t="shared" si="5"/>
        <v>19676</v>
      </c>
      <c r="K73" s="80">
        <v>0</v>
      </c>
      <c r="L73" s="76">
        <f t="shared" si="2"/>
        <v>19676</v>
      </c>
      <c r="M73" s="84"/>
      <c r="N73" s="99">
        <v>83</v>
      </c>
      <c r="O73" s="50">
        <f t="shared" si="6"/>
        <v>1633108</v>
      </c>
      <c r="P73" s="50">
        <f t="shared" si="7"/>
        <v>1633108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1919</v>
      </c>
      <c r="E75" s="24"/>
      <c r="F75" s="24"/>
      <c r="G75" s="16">
        <f t="shared" si="0"/>
        <v>1919</v>
      </c>
      <c r="H75" s="24"/>
      <c r="I75" s="24"/>
      <c r="J75" s="76">
        <f t="shared" si="5"/>
        <v>1919</v>
      </c>
      <c r="K75" s="80">
        <v>273</v>
      </c>
      <c r="L75" s="76">
        <f t="shared" si="2"/>
        <v>2192</v>
      </c>
      <c r="M75" s="86"/>
      <c r="N75" s="99">
        <v>16</v>
      </c>
      <c r="O75" s="50">
        <f t="shared" si="6"/>
        <v>35072</v>
      </c>
      <c r="P75" s="50">
        <f t="shared" si="7"/>
        <v>30704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500</v>
      </c>
      <c r="E76" s="24"/>
      <c r="F76" s="24"/>
      <c r="G76" s="16">
        <f t="shared" si="0"/>
        <v>500</v>
      </c>
      <c r="H76" s="24">
        <v>5</v>
      </c>
      <c r="I76" s="24"/>
      <c r="J76" s="76">
        <f t="shared" si="5"/>
        <v>495</v>
      </c>
      <c r="K76" s="80">
        <v>-250</v>
      </c>
      <c r="L76" s="76">
        <f t="shared" si="2"/>
        <v>245</v>
      </c>
      <c r="M76" s="30"/>
      <c r="N76" s="99">
        <v>400</v>
      </c>
      <c r="O76" s="50">
        <f t="shared" si="6"/>
        <v>98000</v>
      </c>
      <c r="P76" s="50">
        <f t="shared" si="7"/>
        <v>198000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221</v>
      </c>
      <c r="E78" s="24"/>
      <c r="F78" s="24"/>
      <c r="G78" s="16">
        <f t="shared" si="0"/>
        <v>221</v>
      </c>
      <c r="H78" s="24">
        <v>3</v>
      </c>
      <c r="I78" s="24"/>
      <c r="J78" s="76">
        <f t="shared" si="5"/>
        <v>218</v>
      </c>
      <c r="K78" s="80">
        <v>100</v>
      </c>
      <c r="L78" s="76">
        <f t="shared" si="2"/>
        <v>318</v>
      </c>
      <c r="M78" s="86"/>
      <c r="N78" s="99">
        <v>900</v>
      </c>
      <c r="O78" s="50">
        <f t="shared" si="6"/>
        <v>286200</v>
      </c>
      <c r="P78" s="50">
        <f t="shared" si="7"/>
        <v>196200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6285</v>
      </c>
      <c r="E83" s="98"/>
      <c r="F83" s="24"/>
      <c r="G83" s="16">
        <f t="shared" si="8"/>
        <v>6285</v>
      </c>
      <c r="H83" s="24"/>
      <c r="I83" s="95"/>
      <c r="J83" s="76">
        <f t="shared" si="5"/>
        <v>6285</v>
      </c>
      <c r="K83" s="81">
        <v>0</v>
      </c>
      <c r="L83" s="76">
        <f t="shared" si="2"/>
        <v>6285</v>
      </c>
      <c r="M83" s="85"/>
      <c r="N83" s="100">
        <v>64</v>
      </c>
      <c r="O83" s="50">
        <f t="shared" si="6"/>
        <v>402240</v>
      </c>
      <c r="P83" s="50">
        <f t="shared" si="7"/>
        <v>402240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24</v>
      </c>
      <c r="E84" s="89"/>
      <c r="F84" s="12"/>
      <c r="G84" s="45">
        <f t="shared" si="8"/>
        <v>24</v>
      </c>
      <c r="H84" s="12"/>
      <c r="I84" s="94"/>
      <c r="J84" s="82">
        <f t="shared" ref="J84:J97" si="9">D84+E84-H84-I84</f>
        <v>24</v>
      </c>
      <c r="K84" s="96">
        <v>0</v>
      </c>
      <c r="L84" s="82">
        <f t="shared" si="2"/>
        <v>24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-8</v>
      </c>
      <c r="E85" s="90"/>
      <c r="F85" s="11"/>
      <c r="G85" s="16">
        <f t="shared" si="8"/>
        <v>-8</v>
      </c>
      <c r="H85" s="88"/>
      <c r="I85" s="11"/>
      <c r="J85" s="76">
        <f t="shared" si="9"/>
        <v>-8</v>
      </c>
      <c r="K85" s="97">
        <v>500</v>
      </c>
      <c r="L85" s="76">
        <f t="shared" si="2"/>
        <v>492</v>
      </c>
      <c r="M85" s="86"/>
      <c r="N85" s="99">
        <v>350</v>
      </c>
      <c r="O85" s="50">
        <f t="shared" si="6"/>
        <v>172200</v>
      </c>
      <c r="P85" s="50">
        <f t="shared" si="7"/>
        <v>-2800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402</v>
      </c>
      <c r="E86" s="90"/>
      <c r="F86" s="11"/>
      <c r="G86" s="16">
        <f t="shared" si="8"/>
        <v>402</v>
      </c>
      <c r="H86" s="88">
        <v>14</v>
      </c>
      <c r="I86" s="11"/>
      <c r="J86" s="76">
        <f t="shared" si="9"/>
        <v>388</v>
      </c>
      <c r="K86" s="97">
        <v>300</v>
      </c>
      <c r="L86" s="76">
        <f t="shared" si="2"/>
        <v>688</v>
      </c>
      <c r="M86" s="84"/>
      <c r="N86" s="99">
        <v>165</v>
      </c>
      <c r="O86" s="50">
        <f t="shared" si="6"/>
        <v>113520</v>
      </c>
      <c r="P86" s="50">
        <f t="shared" si="7"/>
        <v>64020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291</v>
      </c>
      <c r="E87" s="11"/>
      <c r="F87" s="11"/>
      <c r="G87" s="16">
        <f t="shared" si="8"/>
        <v>291</v>
      </c>
      <c r="H87" s="88"/>
      <c r="I87" s="11"/>
      <c r="J87" s="76">
        <f t="shared" si="9"/>
        <v>291</v>
      </c>
      <c r="K87" s="97">
        <v>-1</v>
      </c>
      <c r="L87" s="76">
        <f t="shared" si="2"/>
        <v>290</v>
      </c>
      <c r="M87" s="86"/>
      <c r="N87" s="99">
        <v>630</v>
      </c>
      <c r="O87" s="50">
        <f t="shared" si="6"/>
        <v>182700</v>
      </c>
      <c r="P87" s="50">
        <f t="shared" si="7"/>
        <v>183330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66</v>
      </c>
      <c r="E88" s="11"/>
      <c r="F88" s="11"/>
      <c r="G88" s="16">
        <f t="shared" si="8"/>
        <v>66</v>
      </c>
      <c r="H88" s="88"/>
      <c r="I88" s="11"/>
      <c r="J88" s="76">
        <f t="shared" si="9"/>
        <v>66</v>
      </c>
      <c r="K88" s="97">
        <v>8</v>
      </c>
      <c r="L88" s="76">
        <f t="shared" ref="L88:L97" si="10">J88+K88</f>
        <v>74</v>
      </c>
      <c r="M88" s="86"/>
      <c r="N88" s="99">
        <v>285</v>
      </c>
      <c r="O88" s="50">
        <f t="shared" si="6"/>
        <v>21090</v>
      </c>
      <c r="P88" s="50">
        <f t="shared" si="7"/>
        <v>18810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571</v>
      </c>
      <c r="E92" s="88"/>
      <c r="F92" s="11"/>
      <c r="G92" s="16">
        <f t="shared" si="8"/>
        <v>571</v>
      </c>
      <c r="H92" s="88"/>
      <c r="I92" s="11"/>
      <c r="J92" s="83">
        <f t="shared" si="9"/>
        <v>571</v>
      </c>
      <c r="K92" s="97">
        <v>0</v>
      </c>
      <c r="L92" s="76">
        <f t="shared" si="10"/>
        <v>571</v>
      </c>
      <c r="M92" s="86"/>
      <c r="N92" s="99">
        <v>113</v>
      </c>
      <c r="O92" s="50">
        <f t="shared" si="6"/>
        <v>64523</v>
      </c>
      <c r="P92" s="50">
        <f t="shared" si="7"/>
        <v>64523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359</v>
      </c>
      <c r="E94" s="88"/>
      <c r="F94" s="11"/>
      <c r="G94" s="16">
        <f t="shared" si="8"/>
        <v>359</v>
      </c>
      <c r="H94" s="88">
        <v>3</v>
      </c>
      <c r="I94" s="11"/>
      <c r="J94" s="83">
        <f t="shared" si="9"/>
        <v>356</v>
      </c>
      <c r="K94" s="97">
        <v>-50</v>
      </c>
      <c r="L94" s="76">
        <f t="shared" si="10"/>
        <v>306</v>
      </c>
      <c r="M94" s="86"/>
      <c r="N94" s="99">
        <v>950</v>
      </c>
      <c r="O94" s="50">
        <f t="shared" si="6"/>
        <v>290700</v>
      </c>
      <c r="P94" s="50">
        <f t="shared" si="7"/>
        <v>338200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1317638.2549999999</v>
      </c>
      <c r="E98" s="27">
        <f t="shared" ref="E98:L98" si="11">SUM(E6:E97)</f>
        <v>0</v>
      </c>
      <c r="F98" s="27">
        <f t="shared" si="11"/>
        <v>0</v>
      </c>
      <c r="G98" s="27">
        <f t="shared" si="11"/>
        <v>1317638.2549999999</v>
      </c>
      <c r="H98" s="27">
        <f t="shared" si="11"/>
        <v>13131</v>
      </c>
      <c r="I98" s="27">
        <f t="shared" si="11"/>
        <v>0</v>
      </c>
      <c r="J98" s="27">
        <f t="shared" si="11"/>
        <v>1304507.2549999999</v>
      </c>
      <c r="K98" s="27">
        <f t="shared" si="11"/>
        <v>-586999</v>
      </c>
      <c r="L98" s="27">
        <f t="shared" si="11"/>
        <v>717508.25499999989</v>
      </c>
      <c r="M98" s="27">
        <f>SUM(M6:M96)</f>
        <v>0</v>
      </c>
      <c r="N98" s="51"/>
      <c r="O98" s="51">
        <f t="shared" ref="O98" si="12">SUM(O6:O97)</f>
        <v>30786250.649999999</v>
      </c>
      <c r="P98" s="51">
        <f>SUM(P6:P97)</f>
        <v>43409221.350000001</v>
      </c>
      <c r="Q98" s="57">
        <f>O98-P98</f>
        <v>-12622970.700000003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04" t="s">
        <v>115</v>
      </c>
      <c r="M100" s="104"/>
      <c r="O100" s="55" t="s">
        <v>110</v>
      </c>
      <c r="P100" s="54">
        <v>79909923</v>
      </c>
    </row>
    <row r="101" spans="1:22">
      <c r="P101" s="54">
        <f>P100-P98</f>
        <v>36500701.649999999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Q25" sqref="Q25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138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127</v>
      </c>
      <c r="E6" s="15">
        <v>14350</v>
      </c>
      <c r="F6" s="16">
        <v>150</v>
      </c>
      <c r="G6" s="15">
        <f>D6+E6-F6</f>
        <v>14327</v>
      </c>
      <c r="H6" s="15">
        <v>17126</v>
      </c>
      <c r="I6" s="16"/>
      <c r="J6" s="15">
        <f>G6-H6-I6</f>
        <v>-2799</v>
      </c>
      <c r="K6" s="15">
        <v>0</v>
      </c>
      <c r="L6" s="15">
        <f>J6+K6</f>
        <v>-2799</v>
      </c>
      <c r="M6" s="30" t="s">
        <v>75</v>
      </c>
      <c r="N6" s="99">
        <v>21.5</v>
      </c>
      <c r="O6" s="50">
        <f>L6*N6</f>
        <v>-60178.5</v>
      </c>
      <c r="P6" s="50">
        <f>J6*N6</f>
        <v>-60178.5</v>
      </c>
      <c r="Q6" s="43">
        <f>O6-P6</f>
        <v>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98032</v>
      </c>
      <c r="E7" s="15"/>
      <c r="F7" s="15"/>
      <c r="G7" s="15">
        <f t="shared" ref="G7:G80" si="0">D7+E7-F7</f>
        <v>98032</v>
      </c>
      <c r="H7" s="15">
        <v>6521</v>
      </c>
      <c r="I7" s="15"/>
      <c r="J7" s="15">
        <f t="shared" ref="J7:J70" si="1">G7-H7-I7</f>
        <v>91511</v>
      </c>
      <c r="K7" s="15">
        <v>-5000</v>
      </c>
      <c r="L7" s="15">
        <f t="shared" ref="L7:L87" si="2">J7+K7</f>
        <v>86511</v>
      </c>
      <c r="M7" s="30" t="s">
        <v>75</v>
      </c>
      <c r="N7" s="99">
        <v>38</v>
      </c>
      <c r="O7" s="50">
        <f t="shared" ref="O7:O70" si="3">L7*N7</f>
        <v>3287418</v>
      </c>
      <c r="P7" s="50">
        <f t="shared" ref="P7:P70" si="4">J7*N7</f>
        <v>3477418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29879</v>
      </c>
      <c r="E8" s="15"/>
      <c r="F8" s="15"/>
      <c r="G8" s="15">
        <f t="shared" si="0"/>
        <v>29879</v>
      </c>
      <c r="H8" s="15">
        <v>375</v>
      </c>
      <c r="I8" s="15"/>
      <c r="J8" s="15">
        <f t="shared" si="1"/>
        <v>29504</v>
      </c>
      <c r="K8" s="15">
        <v>0</v>
      </c>
      <c r="L8" s="15">
        <f t="shared" si="2"/>
        <v>29504</v>
      </c>
      <c r="M8" s="30" t="s">
        <v>75</v>
      </c>
      <c r="N8" s="99">
        <v>12</v>
      </c>
      <c r="O8" s="50">
        <f t="shared" si="3"/>
        <v>354048</v>
      </c>
      <c r="P8" s="50">
        <f t="shared" si="4"/>
        <v>354048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676592</v>
      </c>
      <c r="E10" s="15"/>
      <c r="F10" s="15"/>
      <c r="G10" s="15">
        <f t="shared" si="0"/>
        <v>676592</v>
      </c>
      <c r="H10" s="15"/>
      <c r="I10" s="15"/>
      <c r="J10" s="15">
        <f t="shared" si="1"/>
        <v>676592</v>
      </c>
      <c r="K10" s="15">
        <v>-607000</v>
      </c>
      <c r="L10" s="15">
        <f t="shared" si="2"/>
        <v>69592</v>
      </c>
      <c r="M10" s="30"/>
      <c r="N10" s="99">
        <v>23.09</v>
      </c>
      <c r="O10" s="50">
        <f t="shared" si="3"/>
        <v>1606879.28</v>
      </c>
      <c r="P10" s="50">
        <f t="shared" si="4"/>
        <v>15622509.279999999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-6888</v>
      </c>
      <c r="E11" s="15"/>
      <c r="F11" s="15"/>
      <c r="G11" s="15">
        <f t="shared" si="0"/>
        <v>-6888</v>
      </c>
      <c r="H11" s="15">
        <v>50</v>
      </c>
      <c r="I11" s="15"/>
      <c r="J11" s="15">
        <f t="shared" si="1"/>
        <v>-6938</v>
      </c>
      <c r="K11" s="15">
        <v>2000</v>
      </c>
      <c r="L11" s="15">
        <f t="shared" si="2"/>
        <v>-4938</v>
      </c>
      <c r="M11" s="30" t="s">
        <v>75</v>
      </c>
      <c r="N11" s="99">
        <v>16.5</v>
      </c>
      <c r="O11" s="50">
        <f t="shared" si="3"/>
        <v>-81477</v>
      </c>
      <c r="P11" s="50">
        <f t="shared" si="4"/>
        <v>-114477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-4391</v>
      </c>
      <c r="E13" s="15"/>
      <c r="F13" s="15"/>
      <c r="G13" s="15">
        <f t="shared" si="0"/>
        <v>-4391</v>
      </c>
      <c r="H13" s="15"/>
      <c r="I13" s="15"/>
      <c r="J13" s="15">
        <f t="shared" si="1"/>
        <v>-4391</v>
      </c>
      <c r="K13" s="15">
        <v>5000</v>
      </c>
      <c r="L13" s="15">
        <f t="shared" si="2"/>
        <v>609</v>
      </c>
      <c r="M13" s="30" t="s">
        <v>75</v>
      </c>
      <c r="N13" s="99">
        <v>27.5</v>
      </c>
      <c r="O13" s="50">
        <f t="shared" si="3"/>
        <v>16747.5</v>
      </c>
      <c r="P13" s="50">
        <f t="shared" si="4"/>
        <v>-120752.5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16062</v>
      </c>
      <c r="E14" s="15"/>
      <c r="F14" s="15"/>
      <c r="G14" s="15">
        <f t="shared" si="0"/>
        <v>16062</v>
      </c>
      <c r="H14" s="15"/>
      <c r="I14" s="16"/>
      <c r="J14" s="15">
        <f t="shared" si="1"/>
        <v>16062</v>
      </c>
      <c r="K14" s="15">
        <v>-1000</v>
      </c>
      <c r="L14" s="15">
        <f t="shared" si="2"/>
        <v>15062</v>
      </c>
      <c r="M14" s="30"/>
      <c r="N14" s="99">
        <v>59</v>
      </c>
      <c r="O14" s="50">
        <f t="shared" si="3"/>
        <v>888658</v>
      </c>
      <c r="P14" s="50">
        <f t="shared" si="4"/>
        <v>947658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34224</v>
      </c>
      <c r="E16" s="29"/>
      <c r="F16" s="15"/>
      <c r="G16" s="15">
        <f t="shared" si="0"/>
        <v>34224</v>
      </c>
      <c r="H16" s="15">
        <v>837</v>
      </c>
      <c r="I16" s="16"/>
      <c r="J16" s="15">
        <f t="shared" si="1"/>
        <v>33387</v>
      </c>
      <c r="K16" s="15">
        <v>0</v>
      </c>
      <c r="L16" s="15">
        <f>J16+K16</f>
        <v>33387</v>
      </c>
      <c r="M16" s="30"/>
      <c r="N16" s="99">
        <v>43.25</v>
      </c>
      <c r="O16" s="50">
        <f t="shared" si="3"/>
        <v>1443987.75</v>
      </c>
      <c r="P16" s="50">
        <f t="shared" si="4"/>
        <v>1443987.75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18517</v>
      </c>
      <c r="E19" s="15"/>
      <c r="F19" s="15"/>
      <c r="G19" s="15">
        <f t="shared" si="0"/>
        <v>18517</v>
      </c>
      <c r="H19" s="15"/>
      <c r="I19" s="16"/>
      <c r="J19" s="15">
        <f t="shared" si="1"/>
        <v>18517</v>
      </c>
      <c r="K19" s="15">
        <v>1000</v>
      </c>
      <c r="L19" s="15">
        <f t="shared" si="2"/>
        <v>19517</v>
      </c>
      <c r="M19" s="30"/>
      <c r="N19" s="99">
        <v>22.8</v>
      </c>
      <c r="O19" s="50">
        <f t="shared" si="3"/>
        <v>444987.60000000003</v>
      </c>
      <c r="P19" s="50">
        <f t="shared" si="4"/>
        <v>422187.60000000003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10257</v>
      </c>
      <c r="E20" s="15"/>
      <c r="F20" s="15"/>
      <c r="G20" s="15">
        <f t="shared" si="0"/>
        <v>10257</v>
      </c>
      <c r="H20" s="15"/>
      <c r="I20" s="16"/>
      <c r="J20" s="15">
        <f t="shared" si="1"/>
        <v>10257</v>
      </c>
      <c r="K20" s="15">
        <v>0</v>
      </c>
      <c r="L20" s="15">
        <f t="shared" si="2"/>
        <v>10257</v>
      </c>
      <c r="M20" s="30" t="s">
        <v>75</v>
      </c>
      <c r="N20" s="99">
        <v>20</v>
      </c>
      <c r="O20" s="50">
        <f t="shared" si="3"/>
        <v>205140</v>
      </c>
      <c r="P20" s="50">
        <f t="shared" si="4"/>
        <v>205140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8775</v>
      </c>
      <c r="E21" s="15"/>
      <c r="F21" s="15"/>
      <c r="G21" s="15">
        <f t="shared" si="0"/>
        <v>8775</v>
      </c>
      <c r="H21" s="15"/>
      <c r="I21" s="16"/>
      <c r="J21" s="15">
        <f t="shared" si="1"/>
        <v>8775</v>
      </c>
      <c r="K21" s="15">
        <v>0</v>
      </c>
      <c r="L21" s="15">
        <f t="shared" si="2"/>
        <v>8775</v>
      </c>
      <c r="M21" s="30"/>
      <c r="N21" s="99">
        <v>8.5</v>
      </c>
      <c r="O21" s="50">
        <f t="shared" si="3"/>
        <v>74587.5</v>
      </c>
      <c r="P21" s="50">
        <f t="shared" si="4"/>
        <v>74587.5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257094</v>
      </c>
      <c r="E22" s="15"/>
      <c r="F22" s="15"/>
      <c r="G22" s="15">
        <f t="shared" si="0"/>
        <v>257094</v>
      </c>
      <c r="H22" s="15">
        <v>2578</v>
      </c>
      <c r="I22" s="16"/>
      <c r="J22" s="15">
        <f t="shared" si="1"/>
        <v>254516</v>
      </c>
      <c r="K22" s="15">
        <v>8000</v>
      </c>
      <c r="L22" s="15">
        <f t="shared" si="2"/>
        <v>262516</v>
      </c>
      <c r="M22" s="30"/>
      <c r="N22" s="99">
        <v>8.5</v>
      </c>
      <c r="O22" s="50">
        <f t="shared" si="3"/>
        <v>2231386</v>
      </c>
      <c r="P22" s="50">
        <f t="shared" si="4"/>
        <v>2163386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5942</v>
      </c>
      <c r="E23" s="15"/>
      <c r="F23" s="15"/>
      <c r="G23" s="15">
        <f t="shared" si="0"/>
        <v>5942</v>
      </c>
      <c r="H23" s="15">
        <v>341</v>
      </c>
      <c r="I23" s="16"/>
      <c r="J23" s="15">
        <f t="shared" si="1"/>
        <v>5601</v>
      </c>
      <c r="K23" s="15">
        <v>1500</v>
      </c>
      <c r="L23" s="15">
        <f t="shared" si="2"/>
        <v>7101</v>
      </c>
      <c r="M23" s="30" t="s">
        <v>75</v>
      </c>
      <c r="N23" s="99">
        <v>82</v>
      </c>
      <c r="O23" s="50">
        <f t="shared" si="3"/>
        <v>582282</v>
      </c>
      <c r="P23" s="50">
        <f t="shared" si="4"/>
        <v>459282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20764</v>
      </c>
      <c r="E24" s="29"/>
      <c r="F24" s="29"/>
      <c r="G24" s="15">
        <f t="shared" si="0"/>
        <v>20764</v>
      </c>
      <c r="H24" s="15"/>
      <c r="I24" s="16"/>
      <c r="J24" s="15">
        <f t="shared" si="1"/>
        <v>20764</v>
      </c>
      <c r="K24" s="15">
        <v>2713</v>
      </c>
      <c r="L24" s="15">
        <f t="shared" si="2"/>
        <v>23477</v>
      </c>
      <c r="M24" s="30"/>
      <c r="N24" s="99">
        <v>22.1</v>
      </c>
      <c r="O24" s="50">
        <f t="shared" si="3"/>
        <v>518841.7</v>
      </c>
      <c r="P24" s="50">
        <f t="shared" si="4"/>
        <v>458884.4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11647</v>
      </c>
      <c r="E26" s="15"/>
      <c r="F26" s="15"/>
      <c r="G26" s="15">
        <f t="shared" si="0"/>
        <v>11647</v>
      </c>
      <c r="H26" s="15">
        <v>778</v>
      </c>
      <c r="I26" s="16"/>
      <c r="J26" s="76">
        <f t="shared" si="1"/>
        <v>10869</v>
      </c>
      <c r="K26" s="76">
        <v>0</v>
      </c>
      <c r="L26" s="76">
        <f t="shared" si="2"/>
        <v>10869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10051</v>
      </c>
      <c r="E31" s="15"/>
      <c r="F31" s="15"/>
      <c r="G31" s="15">
        <f t="shared" si="0"/>
        <v>10051</v>
      </c>
      <c r="H31" s="15"/>
      <c r="I31" s="16"/>
      <c r="J31" s="76">
        <f t="shared" si="1"/>
        <v>10051</v>
      </c>
      <c r="K31" s="76">
        <v>0</v>
      </c>
      <c r="L31" s="76">
        <f t="shared" si="2"/>
        <v>10051</v>
      </c>
      <c r="M31" s="78"/>
      <c r="N31" s="99">
        <v>60</v>
      </c>
      <c r="O31" s="50">
        <f t="shared" si="3"/>
        <v>603060</v>
      </c>
      <c r="P31" s="50">
        <f t="shared" si="4"/>
        <v>603060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74</v>
      </c>
      <c r="D32" s="15">
        <v>0</v>
      </c>
      <c r="E32" s="15"/>
      <c r="F32" s="15"/>
      <c r="G32" s="15">
        <f t="shared" si="0"/>
        <v>0</v>
      </c>
      <c r="H32" s="15"/>
      <c r="I32" s="16"/>
      <c r="J32" s="76">
        <f t="shared" si="1"/>
        <v>0</v>
      </c>
      <c r="K32" s="76"/>
      <c r="L32" s="76">
        <f t="shared" si="2"/>
        <v>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17246</v>
      </c>
      <c r="E33" s="15"/>
      <c r="F33" s="15"/>
      <c r="G33" s="15">
        <f t="shared" si="0"/>
        <v>17246</v>
      </c>
      <c r="H33" s="15">
        <v>73</v>
      </c>
      <c r="I33" s="16"/>
      <c r="J33" s="76">
        <f t="shared" si="1"/>
        <v>17173</v>
      </c>
      <c r="K33" s="76">
        <v>206</v>
      </c>
      <c r="L33" s="76">
        <f t="shared" si="2"/>
        <v>17379</v>
      </c>
      <c r="M33" s="30"/>
      <c r="N33" s="99">
        <v>12.49</v>
      </c>
      <c r="O33" s="50">
        <f t="shared" si="3"/>
        <v>217063.71</v>
      </c>
      <c r="P33" s="50">
        <f t="shared" si="4"/>
        <v>214490.77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257</v>
      </c>
      <c r="E34" s="15"/>
      <c r="F34" s="15"/>
      <c r="G34" s="15">
        <f t="shared" si="0"/>
        <v>257</v>
      </c>
      <c r="H34" s="15">
        <v>3</v>
      </c>
      <c r="I34" s="16"/>
      <c r="J34" s="76">
        <f t="shared" si="1"/>
        <v>254</v>
      </c>
      <c r="K34" s="76">
        <v>-50</v>
      </c>
      <c r="L34" s="76">
        <f t="shared" si="2"/>
        <v>204</v>
      </c>
      <c r="M34" s="77"/>
      <c r="N34" s="99">
        <v>435</v>
      </c>
      <c r="O34" s="50">
        <f t="shared" si="3"/>
        <v>88740</v>
      </c>
      <c r="P34" s="50">
        <f t="shared" si="4"/>
        <v>110490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191</v>
      </c>
      <c r="E35" s="15"/>
      <c r="F35" s="15"/>
      <c r="G35" s="15">
        <f t="shared" si="0"/>
        <v>191</v>
      </c>
      <c r="H35" s="15"/>
      <c r="I35" s="16"/>
      <c r="J35" s="76">
        <f>G35-H35-I35</f>
        <v>191</v>
      </c>
      <c r="K35" s="76">
        <v>-50</v>
      </c>
      <c r="L35" s="76">
        <f t="shared" si="2"/>
        <v>141</v>
      </c>
      <c r="M35" s="84"/>
      <c r="N35" s="99">
        <v>730</v>
      </c>
      <c r="O35" s="50">
        <f t="shared" si="3"/>
        <v>102930</v>
      </c>
      <c r="P35" s="50">
        <f t="shared" si="4"/>
        <v>139430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381</v>
      </c>
      <c r="E36" s="15"/>
      <c r="F36" s="15"/>
      <c r="G36" s="15">
        <f t="shared" si="0"/>
        <v>381</v>
      </c>
      <c r="H36" s="16">
        <v>4</v>
      </c>
      <c r="I36" s="16"/>
      <c r="J36" s="76">
        <f t="shared" si="1"/>
        <v>377</v>
      </c>
      <c r="K36" s="76">
        <v>-125</v>
      </c>
      <c r="L36" s="76">
        <f t="shared" si="2"/>
        <v>252</v>
      </c>
      <c r="M36" s="84"/>
      <c r="N36" s="99">
        <v>155</v>
      </c>
      <c r="O36" s="50">
        <f t="shared" si="3"/>
        <v>39060</v>
      </c>
      <c r="P36" s="50">
        <f t="shared" si="4"/>
        <v>58435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1404</v>
      </c>
      <c r="E37" s="15"/>
      <c r="F37" s="15"/>
      <c r="G37" s="15">
        <f t="shared" si="0"/>
        <v>1404</v>
      </c>
      <c r="H37" s="16"/>
      <c r="I37" s="16"/>
      <c r="J37" s="76">
        <f t="shared" si="1"/>
        <v>1404</v>
      </c>
      <c r="K37" s="76">
        <v>0</v>
      </c>
      <c r="L37" s="76">
        <f t="shared" si="2"/>
        <v>1404</v>
      </c>
      <c r="M37" s="84"/>
      <c r="N37" s="99">
        <v>125</v>
      </c>
      <c r="O37" s="50">
        <f t="shared" si="3"/>
        <v>175500</v>
      </c>
      <c r="P37" s="50">
        <f t="shared" si="4"/>
        <v>175500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252</v>
      </c>
      <c r="E39" s="15"/>
      <c r="F39" s="15"/>
      <c r="G39" s="15">
        <f t="shared" si="0"/>
        <v>252</v>
      </c>
      <c r="H39" s="16"/>
      <c r="I39" s="16"/>
      <c r="J39" s="76">
        <f t="shared" si="1"/>
        <v>252</v>
      </c>
      <c r="K39" s="76">
        <v>-70</v>
      </c>
      <c r="L39" s="76">
        <f t="shared" si="2"/>
        <v>182</v>
      </c>
      <c r="M39" s="84"/>
      <c r="N39" s="99">
        <v>975</v>
      </c>
      <c r="O39" s="50">
        <f t="shared" si="3"/>
        <v>177450</v>
      </c>
      <c r="P39" s="50">
        <f t="shared" si="4"/>
        <v>245700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331</v>
      </c>
      <c r="E41" s="15"/>
      <c r="F41" s="15"/>
      <c r="G41" s="15">
        <f t="shared" si="0"/>
        <v>331</v>
      </c>
      <c r="H41" s="16">
        <v>22</v>
      </c>
      <c r="I41" s="16"/>
      <c r="J41" s="76">
        <f t="shared" si="1"/>
        <v>309</v>
      </c>
      <c r="K41" s="76">
        <v>500</v>
      </c>
      <c r="L41" s="76">
        <f t="shared" si="2"/>
        <v>809</v>
      </c>
      <c r="M41" s="84"/>
      <c r="N41" s="99">
        <v>125</v>
      </c>
      <c r="O41" s="50">
        <f t="shared" si="3"/>
        <v>101125</v>
      </c>
      <c r="P41" s="50">
        <f t="shared" si="4"/>
        <v>38625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10956</v>
      </c>
      <c r="E44" s="15"/>
      <c r="F44" s="15"/>
      <c r="G44" s="15">
        <f t="shared" si="0"/>
        <v>10956</v>
      </c>
      <c r="H44" s="16"/>
      <c r="I44" s="16"/>
      <c r="J44" s="76">
        <f t="shared" si="1"/>
        <v>10956</v>
      </c>
      <c r="K44" s="76">
        <v>2200</v>
      </c>
      <c r="L44" s="76">
        <f t="shared" si="2"/>
        <v>13156</v>
      </c>
      <c r="M44" s="84"/>
      <c r="N44" s="99">
        <v>80</v>
      </c>
      <c r="O44" s="50">
        <f t="shared" si="3"/>
        <v>1052480</v>
      </c>
      <c r="P44" s="50">
        <f t="shared" si="4"/>
        <v>876480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17148</v>
      </c>
      <c r="E46" s="15"/>
      <c r="F46" s="15"/>
      <c r="G46" s="15">
        <f t="shared" si="0"/>
        <v>17148</v>
      </c>
      <c r="H46" s="16">
        <v>61</v>
      </c>
      <c r="I46" s="16"/>
      <c r="J46" s="76">
        <f t="shared" si="1"/>
        <v>17087</v>
      </c>
      <c r="K46" s="76">
        <v>-180</v>
      </c>
      <c r="L46" s="76">
        <f t="shared" si="2"/>
        <v>16907</v>
      </c>
      <c r="M46" s="84"/>
      <c r="N46" s="99">
        <v>275</v>
      </c>
      <c r="O46" s="50">
        <f t="shared" si="3"/>
        <v>4649425</v>
      </c>
      <c r="P46" s="50">
        <f t="shared" si="4"/>
        <v>4698925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191</v>
      </c>
      <c r="E49" s="15"/>
      <c r="F49" s="15"/>
      <c r="G49" s="15">
        <f t="shared" si="0"/>
        <v>191</v>
      </c>
      <c r="H49" s="15"/>
      <c r="I49" s="16"/>
      <c r="J49" s="76">
        <f t="shared" si="1"/>
        <v>191</v>
      </c>
      <c r="K49" s="76">
        <v>0</v>
      </c>
      <c r="L49" s="76">
        <f t="shared" si="2"/>
        <v>191</v>
      </c>
      <c r="M49" s="84"/>
      <c r="N49" s="99">
        <v>800</v>
      </c>
      <c r="O49" s="50">
        <f t="shared" si="3"/>
        <v>152800</v>
      </c>
      <c r="P49" s="50">
        <f t="shared" si="4"/>
        <v>152800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108</v>
      </c>
      <c r="E53" s="15"/>
      <c r="F53" s="15"/>
      <c r="G53" s="15">
        <f t="shared" si="0"/>
        <v>108</v>
      </c>
      <c r="H53" s="15">
        <v>2</v>
      </c>
      <c r="I53" s="20"/>
      <c r="J53" s="76">
        <f t="shared" si="1"/>
        <v>106</v>
      </c>
      <c r="K53" s="76">
        <v>0</v>
      </c>
      <c r="L53" s="76">
        <f t="shared" si="2"/>
        <v>106</v>
      </c>
      <c r="M53" s="84"/>
      <c r="N53" s="99">
        <v>1600</v>
      </c>
      <c r="O53" s="50">
        <f t="shared" si="3"/>
        <v>169600</v>
      </c>
      <c r="P53" s="50">
        <f t="shared" si="4"/>
        <v>169600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774</v>
      </c>
      <c r="E54" s="15"/>
      <c r="F54" s="15"/>
      <c r="G54" s="15">
        <f t="shared" si="0"/>
        <v>774</v>
      </c>
      <c r="H54" s="15"/>
      <c r="I54" s="16"/>
      <c r="J54" s="76">
        <f t="shared" si="1"/>
        <v>774</v>
      </c>
      <c r="K54" s="76">
        <v>-350</v>
      </c>
      <c r="L54" s="76">
        <f t="shared" si="2"/>
        <v>424</v>
      </c>
      <c r="M54" s="84"/>
      <c r="N54" s="99">
        <v>375</v>
      </c>
      <c r="O54" s="50">
        <f t="shared" si="3"/>
        <v>159000</v>
      </c>
      <c r="P54" s="50">
        <f t="shared" si="4"/>
        <v>290250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143</v>
      </c>
      <c r="E55" s="15"/>
      <c r="F55" s="15"/>
      <c r="G55" s="15">
        <f t="shared" si="0"/>
        <v>143</v>
      </c>
      <c r="H55" s="15"/>
      <c r="I55" s="21"/>
      <c r="J55" s="76">
        <f t="shared" si="1"/>
        <v>143</v>
      </c>
      <c r="K55" s="76">
        <v>9</v>
      </c>
      <c r="L55" s="76">
        <f t="shared" si="2"/>
        <v>152</v>
      </c>
      <c r="M55" s="30"/>
      <c r="N55" s="99">
        <v>425</v>
      </c>
      <c r="O55" s="50">
        <f t="shared" si="3"/>
        <v>64600</v>
      </c>
      <c r="P55" s="50">
        <f t="shared" si="4"/>
        <v>60775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274</v>
      </c>
      <c r="E56" s="15"/>
      <c r="F56" s="15"/>
      <c r="G56" s="15">
        <f t="shared" si="0"/>
        <v>274</v>
      </c>
      <c r="H56" s="15">
        <v>10</v>
      </c>
      <c r="I56" s="22"/>
      <c r="J56" s="76">
        <f t="shared" si="1"/>
        <v>264</v>
      </c>
      <c r="K56" s="76">
        <v>-220</v>
      </c>
      <c r="L56" s="76">
        <f t="shared" si="2"/>
        <v>44</v>
      </c>
      <c r="M56" s="84"/>
      <c r="N56" s="99">
        <v>390</v>
      </c>
      <c r="O56" s="50">
        <f t="shared" si="3"/>
        <v>17160</v>
      </c>
      <c r="P56" s="50">
        <f t="shared" si="4"/>
        <v>102960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107</v>
      </c>
      <c r="E58" s="15"/>
      <c r="F58" s="15"/>
      <c r="G58" s="15">
        <f t="shared" si="0"/>
        <v>107</v>
      </c>
      <c r="H58" s="15">
        <v>3</v>
      </c>
      <c r="I58" s="16"/>
      <c r="J58" s="76">
        <f t="shared" si="1"/>
        <v>104</v>
      </c>
      <c r="K58" s="76">
        <v>0</v>
      </c>
      <c r="L58" s="76">
        <f t="shared" si="2"/>
        <v>104</v>
      </c>
      <c r="M58" s="30"/>
      <c r="N58" s="99">
        <v>132</v>
      </c>
      <c r="O58" s="50">
        <f t="shared" si="3"/>
        <v>13728</v>
      </c>
      <c r="P58" s="50">
        <f t="shared" si="4"/>
        <v>13728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362</v>
      </c>
      <c r="E59" s="15"/>
      <c r="F59" s="15"/>
      <c r="G59" s="15">
        <f t="shared" si="0"/>
        <v>362</v>
      </c>
      <c r="H59" s="15">
        <v>18</v>
      </c>
      <c r="I59" s="16"/>
      <c r="J59" s="76">
        <f t="shared" si="1"/>
        <v>344</v>
      </c>
      <c r="K59" s="76">
        <v>0</v>
      </c>
      <c r="L59" s="76">
        <f t="shared" si="2"/>
        <v>344</v>
      </c>
      <c r="M59" s="84"/>
      <c r="N59" s="99">
        <v>570</v>
      </c>
      <c r="O59" s="50">
        <f t="shared" si="3"/>
        <v>196080</v>
      </c>
      <c r="P59" s="50">
        <f t="shared" si="4"/>
        <v>196080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16972</v>
      </c>
      <c r="E62" s="15"/>
      <c r="F62" s="15"/>
      <c r="G62" s="15">
        <f t="shared" si="0"/>
        <v>16972</v>
      </c>
      <c r="H62" s="15">
        <v>22</v>
      </c>
      <c r="I62" s="16"/>
      <c r="J62" s="76">
        <f t="shared" si="1"/>
        <v>16950</v>
      </c>
      <c r="K62" s="76">
        <v>187</v>
      </c>
      <c r="L62" s="76">
        <f t="shared" si="2"/>
        <v>17137</v>
      </c>
      <c r="M62" s="30"/>
      <c r="N62" s="99">
        <v>87.38</v>
      </c>
      <c r="O62" s="50">
        <f t="shared" si="3"/>
        <v>1497431.0599999998</v>
      </c>
      <c r="P62" s="50">
        <f t="shared" si="4"/>
        <v>1481091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33</v>
      </c>
      <c r="E63" s="15"/>
      <c r="F63" s="15"/>
      <c r="G63" s="15">
        <f t="shared" si="0"/>
        <v>33</v>
      </c>
      <c r="H63" s="15"/>
      <c r="I63" s="16"/>
      <c r="J63" s="76">
        <f t="shared" si="1"/>
        <v>33</v>
      </c>
      <c r="K63" s="76">
        <v>300</v>
      </c>
      <c r="L63" s="76">
        <f t="shared" si="2"/>
        <v>333</v>
      </c>
      <c r="M63" s="84"/>
      <c r="N63" s="99">
        <v>290</v>
      </c>
      <c r="O63" s="50">
        <f t="shared" si="3"/>
        <v>96570</v>
      </c>
      <c r="P63" s="50">
        <f t="shared" si="4"/>
        <v>9570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-5</v>
      </c>
      <c r="E64" s="23"/>
      <c r="F64" s="23"/>
      <c r="G64" s="23">
        <f t="shared" si="0"/>
        <v>-5</v>
      </c>
      <c r="H64" s="23"/>
      <c r="I64" s="23"/>
      <c r="J64" s="76">
        <f t="shared" si="1"/>
        <v>-5</v>
      </c>
      <c r="K64" s="79">
        <v>100</v>
      </c>
      <c r="L64" s="76">
        <f t="shared" si="2"/>
        <v>95</v>
      </c>
      <c r="M64" s="30"/>
      <c r="N64" s="99">
        <v>70</v>
      </c>
      <c r="O64" s="50">
        <f t="shared" si="3"/>
        <v>6650</v>
      </c>
      <c r="P64" s="50">
        <f t="shared" si="4"/>
        <v>-350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948</v>
      </c>
      <c r="E65" s="24"/>
      <c r="F65" s="24"/>
      <c r="G65" s="16">
        <f t="shared" si="0"/>
        <v>948</v>
      </c>
      <c r="H65" s="24">
        <v>36</v>
      </c>
      <c r="I65" s="24"/>
      <c r="J65" s="76">
        <f t="shared" si="1"/>
        <v>912</v>
      </c>
      <c r="K65" s="80">
        <v>-550</v>
      </c>
      <c r="L65" s="76">
        <f t="shared" si="2"/>
        <v>362</v>
      </c>
      <c r="M65" s="86"/>
      <c r="N65" s="99">
        <v>240</v>
      </c>
      <c r="O65" s="50">
        <f t="shared" si="3"/>
        <v>86880</v>
      </c>
      <c r="P65" s="50">
        <f t="shared" si="4"/>
        <v>218880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396</v>
      </c>
      <c r="E66" s="24"/>
      <c r="F66" s="24"/>
      <c r="G66" s="16">
        <f t="shared" si="0"/>
        <v>396</v>
      </c>
      <c r="H66" s="24">
        <v>1</v>
      </c>
      <c r="I66" s="24"/>
      <c r="J66" s="76">
        <f t="shared" si="1"/>
        <v>395</v>
      </c>
      <c r="K66" s="81">
        <v>0</v>
      </c>
      <c r="L66" s="81">
        <f t="shared" si="2"/>
        <v>395</v>
      </c>
      <c r="M66" s="86"/>
      <c r="N66" s="99">
        <v>1100</v>
      </c>
      <c r="O66" s="50">
        <f t="shared" si="3"/>
        <v>434500</v>
      </c>
      <c r="P66" s="50">
        <f t="shared" si="4"/>
        <v>434500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1300</v>
      </c>
      <c r="E67" s="24"/>
      <c r="F67" s="24"/>
      <c r="G67" s="16">
        <f t="shared" si="0"/>
        <v>1300</v>
      </c>
      <c r="H67" s="24">
        <v>312</v>
      </c>
      <c r="I67" s="24"/>
      <c r="J67" s="76">
        <f t="shared" si="1"/>
        <v>988</v>
      </c>
      <c r="K67" s="80">
        <v>0</v>
      </c>
      <c r="L67" s="76">
        <f t="shared" si="2"/>
        <v>988</v>
      </c>
      <c r="M67" s="84"/>
      <c r="N67" s="99">
        <v>53</v>
      </c>
      <c r="O67" s="50">
        <f t="shared" si="3"/>
        <v>52364</v>
      </c>
      <c r="P67" s="50">
        <f t="shared" si="4"/>
        <v>52364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475</v>
      </c>
      <c r="E70" s="24"/>
      <c r="F70" s="24"/>
      <c r="G70" s="16">
        <f t="shared" si="0"/>
        <v>475</v>
      </c>
      <c r="H70" s="24">
        <v>3</v>
      </c>
      <c r="I70" s="24"/>
      <c r="J70" s="76">
        <f t="shared" si="1"/>
        <v>472</v>
      </c>
      <c r="K70" s="80">
        <v>-153</v>
      </c>
      <c r="L70" s="76">
        <f t="shared" si="2"/>
        <v>319</v>
      </c>
      <c r="M70" s="86"/>
      <c r="N70" s="99">
        <v>260</v>
      </c>
      <c r="O70" s="50">
        <f t="shared" si="3"/>
        <v>82940</v>
      </c>
      <c r="P70" s="50">
        <f t="shared" si="4"/>
        <v>122720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4512</v>
      </c>
      <c r="E72" s="24"/>
      <c r="F72" s="24"/>
      <c r="G72" s="16">
        <f t="shared" si="0"/>
        <v>4512</v>
      </c>
      <c r="H72" s="24">
        <v>29</v>
      </c>
      <c r="I72" s="24"/>
      <c r="J72" s="76">
        <f t="shared" si="5"/>
        <v>4483</v>
      </c>
      <c r="K72" s="80">
        <v>-200</v>
      </c>
      <c r="L72" s="76">
        <f t="shared" si="2"/>
        <v>4283</v>
      </c>
      <c r="M72" s="30"/>
      <c r="N72" s="99">
        <v>39</v>
      </c>
      <c r="O72" s="50">
        <f t="shared" si="6"/>
        <v>167037</v>
      </c>
      <c r="P72" s="50">
        <f t="shared" si="7"/>
        <v>174837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19676</v>
      </c>
      <c r="E73" s="24"/>
      <c r="F73" s="24"/>
      <c r="G73" s="16">
        <f t="shared" si="0"/>
        <v>19676</v>
      </c>
      <c r="H73" s="24">
        <v>61</v>
      </c>
      <c r="I73" s="42"/>
      <c r="J73" s="76">
        <f t="shared" si="5"/>
        <v>19615</v>
      </c>
      <c r="K73" s="80">
        <v>0</v>
      </c>
      <c r="L73" s="76">
        <f t="shared" si="2"/>
        <v>19615</v>
      </c>
      <c r="M73" s="84"/>
      <c r="N73" s="99">
        <v>83</v>
      </c>
      <c r="O73" s="50">
        <f t="shared" si="6"/>
        <v>1628045</v>
      </c>
      <c r="P73" s="50">
        <f t="shared" si="7"/>
        <v>1628045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1919</v>
      </c>
      <c r="E75" s="24"/>
      <c r="F75" s="24"/>
      <c r="G75" s="16">
        <f t="shared" si="0"/>
        <v>1919</v>
      </c>
      <c r="H75" s="24"/>
      <c r="I75" s="24"/>
      <c r="J75" s="76">
        <f t="shared" si="5"/>
        <v>1919</v>
      </c>
      <c r="K75" s="80">
        <v>273</v>
      </c>
      <c r="L75" s="76">
        <f t="shared" si="2"/>
        <v>2192</v>
      </c>
      <c r="M75" s="86"/>
      <c r="N75" s="99">
        <v>16</v>
      </c>
      <c r="O75" s="50">
        <f t="shared" si="6"/>
        <v>35072</v>
      </c>
      <c r="P75" s="50">
        <f t="shared" si="7"/>
        <v>30704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495</v>
      </c>
      <c r="E76" s="24"/>
      <c r="F76" s="24"/>
      <c r="G76" s="16">
        <f t="shared" si="0"/>
        <v>495</v>
      </c>
      <c r="H76" s="24">
        <v>12</v>
      </c>
      <c r="I76" s="24"/>
      <c r="J76" s="76">
        <f t="shared" si="5"/>
        <v>483</v>
      </c>
      <c r="K76" s="80">
        <v>-250</v>
      </c>
      <c r="L76" s="76">
        <f t="shared" si="2"/>
        <v>233</v>
      </c>
      <c r="M76" s="30"/>
      <c r="N76" s="99">
        <v>400</v>
      </c>
      <c r="O76" s="50">
        <f t="shared" si="6"/>
        <v>93200</v>
      </c>
      <c r="P76" s="50">
        <f t="shared" si="7"/>
        <v>193200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218</v>
      </c>
      <c r="E78" s="24"/>
      <c r="F78" s="24"/>
      <c r="G78" s="16">
        <f t="shared" si="0"/>
        <v>218</v>
      </c>
      <c r="H78" s="24">
        <v>6</v>
      </c>
      <c r="I78" s="24"/>
      <c r="J78" s="76">
        <f t="shared" si="5"/>
        <v>212</v>
      </c>
      <c r="K78" s="80">
        <v>100</v>
      </c>
      <c r="L78" s="76">
        <f t="shared" si="2"/>
        <v>312</v>
      </c>
      <c r="M78" s="86"/>
      <c r="N78" s="99">
        <v>900</v>
      </c>
      <c r="O78" s="50">
        <f t="shared" si="6"/>
        <v>280800</v>
      </c>
      <c r="P78" s="50">
        <f t="shared" si="7"/>
        <v>190800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6285</v>
      </c>
      <c r="E83" s="98"/>
      <c r="F83" s="24"/>
      <c r="G83" s="16">
        <f t="shared" si="8"/>
        <v>6285</v>
      </c>
      <c r="H83" s="24"/>
      <c r="I83" s="95"/>
      <c r="J83" s="76">
        <f t="shared" si="5"/>
        <v>6285</v>
      </c>
      <c r="K83" s="81">
        <v>0</v>
      </c>
      <c r="L83" s="76">
        <f t="shared" si="2"/>
        <v>6285</v>
      </c>
      <c r="M83" s="85"/>
      <c r="N83" s="100">
        <v>64</v>
      </c>
      <c r="O83" s="50">
        <f t="shared" si="6"/>
        <v>402240</v>
      </c>
      <c r="P83" s="50">
        <f t="shared" si="7"/>
        <v>402240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24</v>
      </c>
      <c r="E84" s="89"/>
      <c r="F84" s="12"/>
      <c r="G84" s="45">
        <f t="shared" si="8"/>
        <v>24</v>
      </c>
      <c r="H84" s="12"/>
      <c r="I84" s="94"/>
      <c r="J84" s="82">
        <f t="shared" ref="J84:J97" si="9">D84+E84-H84-I84</f>
        <v>24</v>
      </c>
      <c r="K84" s="96">
        <v>0</v>
      </c>
      <c r="L84" s="82">
        <f t="shared" si="2"/>
        <v>24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-8</v>
      </c>
      <c r="E85" s="90"/>
      <c r="F85" s="11"/>
      <c r="G85" s="16">
        <f t="shared" si="8"/>
        <v>-8</v>
      </c>
      <c r="H85" s="88"/>
      <c r="I85" s="11"/>
      <c r="J85" s="76">
        <f t="shared" si="9"/>
        <v>-8</v>
      </c>
      <c r="K85" s="97">
        <v>500</v>
      </c>
      <c r="L85" s="76">
        <f t="shared" si="2"/>
        <v>492</v>
      </c>
      <c r="M85" s="86"/>
      <c r="N85" s="99">
        <v>350</v>
      </c>
      <c r="O85" s="50">
        <f t="shared" si="6"/>
        <v>172200</v>
      </c>
      <c r="P85" s="50">
        <f t="shared" si="7"/>
        <v>-2800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388</v>
      </c>
      <c r="E86" s="90"/>
      <c r="F86" s="11"/>
      <c r="G86" s="16">
        <f t="shared" si="8"/>
        <v>388</v>
      </c>
      <c r="H86" s="88">
        <v>34</v>
      </c>
      <c r="I86" s="11"/>
      <c r="J86" s="76">
        <f t="shared" si="9"/>
        <v>354</v>
      </c>
      <c r="K86" s="97">
        <v>300</v>
      </c>
      <c r="L86" s="76">
        <f t="shared" si="2"/>
        <v>654</v>
      </c>
      <c r="M86" s="84"/>
      <c r="N86" s="99">
        <v>165</v>
      </c>
      <c r="O86" s="50">
        <f t="shared" si="6"/>
        <v>107910</v>
      </c>
      <c r="P86" s="50">
        <f t="shared" si="7"/>
        <v>58410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291</v>
      </c>
      <c r="E87" s="11"/>
      <c r="F87" s="11"/>
      <c r="G87" s="16">
        <f t="shared" si="8"/>
        <v>291</v>
      </c>
      <c r="H87" s="88"/>
      <c r="I87" s="11"/>
      <c r="J87" s="76">
        <f t="shared" si="9"/>
        <v>291</v>
      </c>
      <c r="K87" s="97">
        <v>-1</v>
      </c>
      <c r="L87" s="76">
        <f t="shared" si="2"/>
        <v>290</v>
      </c>
      <c r="M87" s="86"/>
      <c r="N87" s="99">
        <v>630</v>
      </c>
      <c r="O87" s="50">
        <f t="shared" si="6"/>
        <v>182700</v>
      </c>
      <c r="P87" s="50">
        <f t="shared" si="7"/>
        <v>183330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66</v>
      </c>
      <c r="E88" s="11"/>
      <c r="F88" s="11"/>
      <c r="G88" s="16">
        <f t="shared" si="8"/>
        <v>66</v>
      </c>
      <c r="H88" s="88"/>
      <c r="I88" s="11"/>
      <c r="J88" s="76">
        <f t="shared" si="9"/>
        <v>66</v>
      </c>
      <c r="K88" s="97">
        <v>8</v>
      </c>
      <c r="L88" s="76">
        <f t="shared" ref="L88:L97" si="10">J88+K88</f>
        <v>74</v>
      </c>
      <c r="M88" s="86"/>
      <c r="N88" s="99">
        <v>285</v>
      </c>
      <c r="O88" s="50">
        <f t="shared" si="6"/>
        <v>21090</v>
      </c>
      <c r="P88" s="50">
        <f t="shared" si="7"/>
        <v>18810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571</v>
      </c>
      <c r="E92" s="88"/>
      <c r="F92" s="11"/>
      <c r="G92" s="16">
        <f t="shared" si="8"/>
        <v>571</v>
      </c>
      <c r="H92" s="88"/>
      <c r="I92" s="11"/>
      <c r="J92" s="83">
        <f t="shared" si="9"/>
        <v>571</v>
      </c>
      <c r="K92" s="97">
        <v>0</v>
      </c>
      <c r="L92" s="76">
        <f t="shared" si="10"/>
        <v>571</v>
      </c>
      <c r="M92" s="86"/>
      <c r="N92" s="99">
        <v>113</v>
      </c>
      <c r="O92" s="50">
        <f t="shared" si="6"/>
        <v>64523</v>
      </c>
      <c r="P92" s="50">
        <f t="shared" si="7"/>
        <v>64523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356</v>
      </c>
      <c r="E94" s="88"/>
      <c r="F94" s="11"/>
      <c r="G94" s="16">
        <f t="shared" si="8"/>
        <v>356</v>
      </c>
      <c r="H94" s="88">
        <v>7</v>
      </c>
      <c r="I94" s="11"/>
      <c r="J94" s="83">
        <f t="shared" si="9"/>
        <v>349</v>
      </c>
      <c r="K94" s="97">
        <v>-50</v>
      </c>
      <c r="L94" s="76">
        <f t="shared" si="10"/>
        <v>299</v>
      </c>
      <c r="M94" s="86"/>
      <c r="N94" s="99">
        <v>950</v>
      </c>
      <c r="O94" s="50">
        <f t="shared" si="6"/>
        <v>284050</v>
      </c>
      <c r="P94" s="50">
        <f t="shared" si="7"/>
        <v>331550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1304507.2549999999</v>
      </c>
      <c r="E98" s="27">
        <f t="shared" ref="E98:L98" si="11">SUM(E6:E97)</f>
        <v>14350</v>
      </c>
      <c r="F98" s="27">
        <f t="shared" si="11"/>
        <v>150</v>
      </c>
      <c r="G98" s="27">
        <f t="shared" si="11"/>
        <v>1318707.2549999999</v>
      </c>
      <c r="H98" s="27">
        <f t="shared" si="11"/>
        <v>29325</v>
      </c>
      <c r="I98" s="27">
        <f t="shared" si="11"/>
        <v>0</v>
      </c>
      <c r="J98" s="27">
        <f t="shared" si="11"/>
        <v>1289382.2549999999</v>
      </c>
      <c r="K98" s="27">
        <f t="shared" si="11"/>
        <v>-586999</v>
      </c>
      <c r="L98" s="27">
        <f t="shared" si="11"/>
        <v>702383.25499999989</v>
      </c>
      <c r="M98" s="27">
        <f>SUM(M6:M96)</f>
        <v>0</v>
      </c>
      <c r="N98" s="51"/>
      <c r="O98" s="51">
        <f t="shared" ref="O98" si="12">SUM(O6:O97)</f>
        <v>30286393.27</v>
      </c>
      <c r="P98" s="51">
        <f>SUM(P6:P97)</f>
        <v>42909363.970000006</v>
      </c>
      <c r="Q98" s="57">
        <f>O98-P98</f>
        <v>-12622970.700000007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05" t="s">
        <v>115</v>
      </c>
      <c r="M100" s="105"/>
      <c r="O100" s="55" t="s">
        <v>110</v>
      </c>
      <c r="P100" s="54">
        <v>79909923</v>
      </c>
    </row>
    <row r="101" spans="1:22">
      <c r="P101" s="54">
        <f>P100-P98</f>
        <v>37000559.029999994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7" activePane="bottomLeft" state="frozen"/>
      <selection pane="bottomLeft" activeCell="H103" sqref="H103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139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-2799</v>
      </c>
      <c r="E6" s="15">
        <f>16070+15580</f>
        <v>31650</v>
      </c>
      <c r="F6" s="16">
        <f>142+146</f>
        <v>288</v>
      </c>
      <c r="G6" s="15">
        <f>D6+E6-F6</f>
        <v>28563</v>
      </c>
      <c r="H6" s="15">
        <v>24573</v>
      </c>
      <c r="I6" s="16"/>
      <c r="J6" s="15">
        <f>G6-H6-I6</f>
        <v>3990</v>
      </c>
      <c r="K6" s="15">
        <v>0</v>
      </c>
      <c r="L6" s="15">
        <f>J6+K6</f>
        <v>3990</v>
      </c>
      <c r="M6" s="30" t="s">
        <v>75</v>
      </c>
      <c r="N6" s="99">
        <v>21.5</v>
      </c>
      <c r="O6" s="50">
        <f>L6*N6</f>
        <v>85785</v>
      </c>
      <c r="P6" s="50">
        <f>J6*N6</f>
        <v>85785</v>
      </c>
      <c r="Q6" s="43">
        <f>O6-P6</f>
        <v>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91511</v>
      </c>
      <c r="E7" s="15"/>
      <c r="F7" s="15"/>
      <c r="G7" s="15">
        <f t="shared" ref="G7:G80" si="0">D7+E7-F7</f>
        <v>91511</v>
      </c>
      <c r="H7" s="15">
        <v>6300</v>
      </c>
      <c r="I7" s="15"/>
      <c r="J7" s="15">
        <f t="shared" ref="J7:J70" si="1">G7-H7-I7</f>
        <v>85211</v>
      </c>
      <c r="K7" s="15">
        <v>-5000</v>
      </c>
      <c r="L7" s="15">
        <f t="shared" ref="L7:L87" si="2">J7+K7</f>
        <v>80211</v>
      </c>
      <c r="M7" s="30" t="s">
        <v>75</v>
      </c>
      <c r="N7" s="99">
        <v>38</v>
      </c>
      <c r="O7" s="50">
        <f t="shared" ref="O7:O70" si="3">L7*N7</f>
        <v>3048018</v>
      </c>
      <c r="P7" s="50">
        <f t="shared" ref="P7:P70" si="4">J7*N7</f>
        <v>3238018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29504</v>
      </c>
      <c r="E8" s="15"/>
      <c r="F8" s="15"/>
      <c r="G8" s="15">
        <f t="shared" si="0"/>
        <v>29504</v>
      </c>
      <c r="H8" s="15">
        <v>10757</v>
      </c>
      <c r="I8" s="15"/>
      <c r="J8" s="15">
        <f t="shared" si="1"/>
        <v>18747</v>
      </c>
      <c r="K8" s="15">
        <v>0</v>
      </c>
      <c r="L8" s="15">
        <f t="shared" si="2"/>
        <v>18747</v>
      </c>
      <c r="M8" s="30" t="s">
        <v>75</v>
      </c>
      <c r="N8" s="99">
        <v>12</v>
      </c>
      <c r="O8" s="50">
        <f t="shared" si="3"/>
        <v>224964</v>
      </c>
      <c r="P8" s="50">
        <f t="shared" si="4"/>
        <v>224964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676592</v>
      </c>
      <c r="E10" s="15"/>
      <c r="F10" s="15"/>
      <c r="G10" s="15">
        <f t="shared" si="0"/>
        <v>676592</v>
      </c>
      <c r="H10" s="15">
        <v>1742</v>
      </c>
      <c r="I10" s="15"/>
      <c r="J10" s="15">
        <f t="shared" si="1"/>
        <v>674850</v>
      </c>
      <c r="K10" s="15">
        <v>-607000</v>
      </c>
      <c r="L10" s="15">
        <f t="shared" si="2"/>
        <v>67850</v>
      </c>
      <c r="M10" s="30"/>
      <c r="N10" s="99">
        <v>23.09</v>
      </c>
      <c r="O10" s="50">
        <f t="shared" si="3"/>
        <v>1566656.5</v>
      </c>
      <c r="P10" s="50">
        <f t="shared" si="4"/>
        <v>15582286.5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-6938</v>
      </c>
      <c r="E11" s="15">
        <v>5420</v>
      </c>
      <c r="F11" s="15"/>
      <c r="G11" s="15">
        <f t="shared" si="0"/>
        <v>-1518</v>
      </c>
      <c r="H11" s="15">
        <v>2738</v>
      </c>
      <c r="I11" s="15"/>
      <c r="J11" s="15">
        <f t="shared" si="1"/>
        <v>-4256</v>
      </c>
      <c r="K11" s="15">
        <v>2000</v>
      </c>
      <c r="L11" s="15">
        <f t="shared" si="2"/>
        <v>-2256</v>
      </c>
      <c r="M11" s="30" t="s">
        <v>75</v>
      </c>
      <c r="N11" s="99">
        <v>16.5</v>
      </c>
      <c r="O11" s="50">
        <f t="shared" si="3"/>
        <v>-37224</v>
      </c>
      <c r="P11" s="50">
        <f t="shared" si="4"/>
        <v>-70224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-4391</v>
      </c>
      <c r="E13" s="15">
        <v>13110</v>
      </c>
      <c r="F13" s="15">
        <v>34</v>
      </c>
      <c r="G13" s="15">
        <f t="shared" si="0"/>
        <v>8685</v>
      </c>
      <c r="H13" s="15">
        <v>5631</v>
      </c>
      <c r="I13" s="15"/>
      <c r="J13" s="15">
        <f t="shared" si="1"/>
        <v>3054</v>
      </c>
      <c r="K13" s="15">
        <v>5000</v>
      </c>
      <c r="L13" s="15">
        <f t="shared" si="2"/>
        <v>8054</v>
      </c>
      <c r="M13" s="30" t="s">
        <v>75</v>
      </c>
      <c r="N13" s="99">
        <v>27.5</v>
      </c>
      <c r="O13" s="50">
        <f t="shared" si="3"/>
        <v>221485</v>
      </c>
      <c r="P13" s="50">
        <f t="shared" si="4"/>
        <v>83985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16062</v>
      </c>
      <c r="E14" s="15"/>
      <c r="F14" s="15"/>
      <c r="G14" s="15">
        <f t="shared" si="0"/>
        <v>16062</v>
      </c>
      <c r="H14" s="15">
        <v>88</v>
      </c>
      <c r="I14" s="16"/>
      <c r="J14" s="15">
        <f t="shared" si="1"/>
        <v>15974</v>
      </c>
      <c r="K14" s="15">
        <v>-1000</v>
      </c>
      <c r="L14" s="15">
        <f t="shared" si="2"/>
        <v>14974</v>
      </c>
      <c r="M14" s="30"/>
      <c r="N14" s="99">
        <v>59</v>
      </c>
      <c r="O14" s="50">
        <f t="shared" si="3"/>
        <v>883466</v>
      </c>
      <c r="P14" s="50">
        <f t="shared" si="4"/>
        <v>942466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33387</v>
      </c>
      <c r="E16" s="29"/>
      <c r="F16" s="15"/>
      <c r="G16" s="15">
        <f t="shared" si="0"/>
        <v>33387</v>
      </c>
      <c r="H16" s="15">
        <v>945</v>
      </c>
      <c r="I16" s="16"/>
      <c r="J16" s="15">
        <f t="shared" si="1"/>
        <v>32442</v>
      </c>
      <c r="K16" s="15">
        <v>0</v>
      </c>
      <c r="L16" s="15">
        <f>J16+K16</f>
        <v>32442</v>
      </c>
      <c r="M16" s="30"/>
      <c r="N16" s="99">
        <v>43.25</v>
      </c>
      <c r="O16" s="50">
        <f t="shared" si="3"/>
        <v>1403116.5</v>
      </c>
      <c r="P16" s="50">
        <f t="shared" si="4"/>
        <v>1403116.5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18517</v>
      </c>
      <c r="E19" s="15"/>
      <c r="F19" s="15"/>
      <c r="G19" s="15">
        <f t="shared" si="0"/>
        <v>18517</v>
      </c>
      <c r="H19" s="15">
        <v>1845</v>
      </c>
      <c r="I19" s="16"/>
      <c r="J19" s="15">
        <f t="shared" si="1"/>
        <v>16672</v>
      </c>
      <c r="K19" s="15">
        <v>1000</v>
      </c>
      <c r="L19" s="15">
        <f t="shared" si="2"/>
        <v>17672</v>
      </c>
      <c r="M19" s="30"/>
      <c r="N19" s="99">
        <v>22.8</v>
      </c>
      <c r="O19" s="50">
        <f t="shared" si="3"/>
        <v>402921.60000000003</v>
      </c>
      <c r="P19" s="50">
        <f t="shared" si="4"/>
        <v>380121.60000000003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10257</v>
      </c>
      <c r="E20" s="15"/>
      <c r="F20" s="15"/>
      <c r="G20" s="15">
        <f t="shared" si="0"/>
        <v>10257</v>
      </c>
      <c r="H20" s="15">
        <v>2107</v>
      </c>
      <c r="I20" s="16"/>
      <c r="J20" s="15">
        <f t="shared" si="1"/>
        <v>8150</v>
      </c>
      <c r="K20" s="15">
        <v>0</v>
      </c>
      <c r="L20" s="15">
        <f t="shared" si="2"/>
        <v>8150</v>
      </c>
      <c r="M20" s="30" t="s">
        <v>75</v>
      </c>
      <c r="N20" s="99">
        <v>20</v>
      </c>
      <c r="O20" s="50">
        <f t="shared" si="3"/>
        <v>163000</v>
      </c>
      <c r="P20" s="50">
        <f t="shared" si="4"/>
        <v>163000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8775</v>
      </c>
      <c r="E21" s="15"/>
      <c r="F21" s="15"/>
      <c r="G21" s="15">
        <f t="shared" si="0"/>
        <v>8775</v>
      </c>
      <c r="H21" s="15">
        <v>565</v>
      </c>
      <c r="I21" s="16"/>
      <c r="J21" s="15">
        <f t="shared" si="1"/>
        <v>8210</v>
      </c>
      <c r="K21" s="15">
        <v>0</v>
      </c>
      <c r="L21" s="15">
        <f t="shared" si="2"/>
        <v>8210</v>
      </c>
      <c r="M21" s="30"/>
      <c r="N21" s="99">
        <v>8.5</v>
      </c>
      <c r="O21" s="50">
        <f t="shared" si="3"/>
        <v>69785</v>
      </c>
      <c r="P21" s="50">
        <f t="shared" si="4"/>
        <v>69785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254516</v>
      </c>
      <c r="E22" s="15"/>
      <c r="F22" s="15"/>
      <c r="G22" s="15">
        <f t="shared" si="0"/>
        <v>254516</v>
      </c>
      <c r="H22" s="15">
        <v>1470</v>
      </c>
      <c r="I22" s="16"/>
      <c r="J22" s="15">
        <f t="shared" si="1"/>
        <v>253046</v>
      </c>
      <c r="K22" s="15">
        <v>8000</v>
      </c>
      <c r="L22" s="15">
        <f t="shared" si="2"/>
        <v>261046</v>
      </c>
      <c r="M22" s="30"/>
      <c r="N22" s="99">
        <v>8.5</v>
      </c>
      <c r="O22" s="50">
        <f t="shared" si="3"/>
        <v>2218891</v>
      </c>
      <c r="P22" s="50">
        <f t="shared" si="4"/>
        <v>2150891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5601</v>
      </c>
      <c r="E23" s="15"/>
      <c r="F23" s="15"/>
      <c r="G23" s="15">
        <f t="shared" si="0"/>
        <v>5601</v>
      </c>
      <c r="H23" s="15">
        <v>700</v>
      </c>
      <c r="I23" s="16"/>
      <c r="J23" s="15">
        <f t="shared" si="1"/>
        <v>4901</v>
      </c>
      <c r="K23" s="15">
        <v>1500</v>
      </c>
      <c r="L23" s="15">
        <f t="shared" si="2"/>
        <v>6401</v>
      </c>
      <c r="M23" s="30" t="s">
        <v>75</v>
      </c>
      <c r="N23" s="99">
        <v>82</v>
      </c>
      <c r="O23" s="50">
        <f t="shared" si="3"/>
        <v>524882</v>
      </c>
      <c r="P23" s="50">
        <f t="shared" si="4"/>
        <v>401882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20764</v>
      </c>
      <c r="E24" s="29"/>
      <c r="F24" s="29"/>
      <c r="G24" s="15">
        <f t="shared" si="0"/>
        <v>20764</v>
      </c>
      <c r="H24" s="15">
        <v>623</v>
      </c>
      <c r="I24" s="16"/>
      <c r="J24" s="15">
        <f t="shared" si="1"/>
        <v>20141</v>
      </c>
      <c r="K24" s="15">
        <v>2713</v>
      </c>
      <c r="L24" s="15">
        <f t="shared" si="2"/>
        <v>22854</v>
      </c>
      <c r="M24" s="30"/>
      <c r="N24" s="99">
        <v>22.1</v>
      </c>
      <c r="O24" s="50">
        <f t="shared" si="3"/>
        <v>505073.4</v>
      </c>
      <c r="P24" s="50">
        <f t="shared" si="4"/>
        <v>445116.10000000003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10869</v>
      </c>
      <c r="E26" s="15"/>
      <c r="F26" s="15"/>
      <c r="G26" s="15">
        <f t="shared" si="0"/>
        <v>10869</v>
      </c>
      <c r="H26" s="15">
        <v>572</v>
      </c>
      <c r="I26" s="16"/>
      <c r="J26" s="76">
        <f t="shared" si="1"/>
        <v>10297</v>
      </c>
      <c r="K26" s="76">
        <v>0</v>
      </c>
      <c r="L26" s="76">
        <f t="shared" si="2"/>
        <v>10297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10051</v>
      </c>
      <c r="E31" s="15"/>
      <c r="F31" s="15"/>
      <c r="G31" s="15">
        <f t="shared" si="0"/>
        <v>10051</v>
      </c>
      <c r="H31" s="15">
        <v>23</v>
      </c>
      <c r="I31" s="16"/>
      <c r="J31" s="76">
        <f t="shared" si="1"/>
        <v>10028</v>
      </c>
      <c r="K31" s="76">
        <v>0</v>
      </c>
      <c r="L31" s="76">
        <f t="shared" si="2"/>
        <v>10028</v>
      </c>
      <c r="M31" s="78"/>
      <c r="N31" s="99">
        <v>60</v>
      </c>
      <c r="O31" s="50">
        <f t="shared" si="3"/>
        <v>601680</v>
      </c>
      <c r="P31" s="50">
        <f t="shared" si="4"/>
        <v>601680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74</v>
      </c>
      <c r="D32" s="15">
        <v>0</v>
      </c>
      <c r="E32" s="15"/>
      <c r="F32" s="15"/>
      <c r="G32" s="15">
        <f t="shared" si="0"/>
        <v>0</v>
      </c>
      <c r="H32" s="15"/>
      <c r="I32" s="16"/>
      <c r="J32" s="76">
        <f t="shared" si="1"/>
        <v>0</v>
      </c>
      <c r="K32" s="76"/>
      <c r="L32" s="76">
        <f t="shared" si="2"/>
        <v>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17173</v>
      </c>
      <c r="E33" s="15"/>
      <c r="F33" s="15"/>
      <c r="G33" s="15">
        <f t="shared" si="0"/>
        <v>17173</v>
      </c>
      <c r="H33" s="15">
        <v>343</v>
      </c>
      <c r="I33" s="16"/>
      <c r="J33" s="76">
        <f t="shared" si="1"/>
        <v>16830</v>
      </c>
      <c r="K33" s="76">
        <v>206</v>
      </c>
      <c r="L33" s="76">
        <f t="shared" si="2"/>
        <v>17036</v>
      </c>
      <c r="M33" s="30"/>
      <c r="N33" s="99">
        <v>12.49</v>
      </c>
      <c r="O33" s="50">
        <f t="shared" si="3"/>
        <v>212779.64</v>
      </c>
      <c r="P33" s="50">
        <f t="shared" si="4"/>
        <v>210206.7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254</v>
      </c>
      <c r="E34" s="15"/>
      <c r="F34" s="15"/>
      <c r="G34" s="15">
        <f t="shared" si="0"/>
        <v>254</v>
      </c>
      <c r="H34" s="15">
        <v>4</v>
      </c>
      <c r="I34" s="16"/>
      <c r="J34" s="76">
        <f t="shared" si="1"/>
        <v>250</v>
      </c>
      <c r="K34" s="76">
        <v>-50</v>
      </c>
      <c r="L34" s="76">
        <f t="shared" si="2"/>
        <v>200</v>
      </c>
      <c r="M34" s="77"/>
      <c r="N34" s="99">
        <v>435</v>
      </c>
      <c r="O34" s="50">
        <f t="shared" si="3"/>
        <v>87000</v>
      </c>
      <c r="P34" s="50">
        <f t="shared" si="4"/>
        <v>108750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191</v>
      </c>
      <c r="E35" s="15"/>
      <c r="F35" s="15"/>
      <c r="G35" s="15">
        <f t="shared" si="0"/>
        <v>191</v>
      </c>
      <c r="H35" s="15">
        <v>4</v>
      </c>
      <c r="I35" s="16"/>
      <c r="J35" s="76">
        <f>G35-H35-I35</f>
        <v>187</v>
      </c>
      <c r="K35" s="76">
        <v>-50</v>
      </c>
      <c r="L35" s="76">
        <f t="shared" si="2"/>
        <v>137</v>
      </c>
      <c r="M35" s="84"/>
      <c r="N35" s="99">
        <v>730</v>
      </c>
      <c r="O35" s="50">
        <f t="shared" si="3"/>
        <v>100010</v>
      </c>
      <c r="P35" s="50">
        <f t="shared" si="4"/>
        <v>136510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377</v>
      </c>
      <c r="E36" s="15"/>
      <c r="F36" s="15"/>
      <c r="G36" s="15">
        <f t="shared" si="0"/>
        <v>377</v>
      </c>
      <c r="H36" s="16">
        <v>3</v>
      </c>
      <c r="I36" s="16"/>
      <c r="J36" s="76">
        <f t="shared" si="1"/>
        <v>374</v>
      </c>
      <c r="K36" s="76">
        <v>-125</v>
      </c>
      <c r="L36" s="76">
        <f t="shared" si="2"/>
        <v>249</v>
      </c>
      <c r="M36" s="84"/>
      <c r="N36" s="99">
        <v>155</v>
      </c>
      <c r="O36" s="50">
        <f t="shared" si="3"/>
        <v>38595</v>
      </c>
      <c r="P36" s="50">
        <f t="shared" si="4"/>
        <v>57970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1404</v>
      </c>
      <c r="E37" s="15"/>
      <c r="F37" s="15"/>
      <c r="G37" s="15">
        <f t="shared" si="0"/>
        <v>1404</v>
      </c>
      <c r="H37" s="16">
        <v>35</v>
      </c>
      <c r="I37" s="16"/>
      <c r="J37" s="76">
        <f t="shared" si="1"/>
        <v>1369</v>
      </c>
      <c r="K37" s="76">
        <v>0</v>
      </c>
      <c r="L37" s="76">
        <f t="shared" si="2"/>
        <v>1369</v>
      </c>
      <c r="M37" s="84"/>
      <c r="N37" s="99">
        <v>125</v>
      </c>
      <c r="O37" s="50">
        <f t="shared" si="3"/>
        <v>171125</v>
      </c>
      <c r="P37" s="50">
        <f t="shared" si="4"/>
        <v>171125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252</v>
      </c>
      <c r="E39" s="15"/>
      <c r="F39" s="15"/>
      <c r="G39" s="15">
        <f t="shared" si="0"/>
        <v>252</v>
      </c>
      <c r="H39" s="16">
        <v>5</v>
      </c>
      <c r="I39" s="16"/>
      <c r="J39" s="76">
        <f t="shared" si="1"/>
        <v>247</v>
      </c>
      <c r="K39" s="76">
        <v>-70</v>
      </c>
      <c r="L39" s="76">
        <f t="shared" si="2"/>
        <v>177</v>
      </c>
      <c r="M39" s="84"/>
      <c r="N39" s="99">
        <v>975</v>
      </c>
      <c r="O39" s="50">
        <f t="shared" si="3"/>
        <v>172575</v>
      </c>
      <c r="P39" s="50">
        <f t="shared" si="4"/>
        <v>240825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309</v>
      </c>
      <c r="E41" s="15"/>
      <c r="F41" s="15"/>
      <c r="G41" s="15">
        <f t="shared" si="0"/>
        <v>309</v>
      </c>
      <c r="H41" s="16">
        <v>18</v>
      </c>
      <c r="I41" s="16"/>
      <c r="J41" s="76">
        <f t="shared" si="1"/>
        <v>291</v>
      </c>
      <c r="K41" s="76">
        <v>500</v>
      </c>
      <c r="L41" s="76">
        <f t="shared" si="2"/>
        <v>791</v>
      </c>
      <c r="M41" s="84"/>
      <c r="N41" s="99">
        <v>125</v>
      </c>
      <c r="O41" s="50">
        <f t="shared" si="3"/>
        <v>98875</v>
      </c>
      <c r="P41" s="50">
        <f t="shared" si="4"/>
        <v>36375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10956</v>
      </c>
      <c r="E44" s="15"/>
      <c r="F44" s="15"/>
      <c r="G44" s="15">
        <f t="shared" si="0"/>
        <v>10956</v>
      </c>
      <c r="H44" s="16">
        <v>36</v>
      </c>
      <c r="I44" s="16"/>
      <c r="J44" s="76">
        <f t="shared" si="1"/>
        <v>10920</v>
      </c>
      <c r="K44" s="76">
        <v>2200</v>
      </c>
      <c r="L44" s="76">
        <f t="shared" si="2"/>
        <v>13120</v>
      </c>
      <c r="M44" s="84"/>
      <c r="N44" s="99">
        <v>80</v>
      </c>
      <c r="O44" s="50">
        <f t="shared" si="3"/>
        <v>1049600</v>
      </c>
      <c r="P44" s="50">
        <f t="shared" si="4"/>
        <v>873600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17087</v>
      </c>
      <c r="E46" s="15"/>
      <c r="F46" s="15"/>
      <c r="G46" s="15">
        <f t="shared" si="0"/>
        <v>17087</v>
      </c>
      <c r="H46" s="16">
        <v>71</v>
      </c>
      <c r="I46" s="16"/>
      <c r="J46" s="76">
        <f t="shared" si="1"/>
        <v>17016</v>
      </c>
      <c r="K46" s="76">
        <v>-180</v>
      </c>
      <c r="L46" s="76">
        <f t="shared" si="2"/>
        <v>16836</v>
      </c>
      <c r="M46" s="84"/>
      <c r="N46" s="99">
        <v>275</v>
      </c>
      <c r="O46" s="50">
        <f t="shared" si="3"/>
        <v>4629900</v>
      </c>
      <c r="P46" s="50">
        <f t="shared" si="4"/>
        <v>4679400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191</v>
      </c>
      <c r="E49" s="15"/>
      <c r="F49" s="15"/>
      <c r="G49" s="15">
        <f t="shared" si="0"/>
        <v>191</v>
      </c>
      <c r="H49" s="15">
        <v>34</v>
      </c>
      <c r="I49" s="16"/>
      <c r="J49" s="76">
        <f t="shared" si="1"/>
        <v>157</v>
      </c>
      <c r="K49" s="76">
        <v>0</v>
      </c>
      <c r="L49" s="76">
        <f t="shared" si="2"/>
        <v>157</v>
      </c>
      <c r="M49" s="84"/>
      <c r="N49" s="99">
        <v>800</v>
      </c>
      <c r="O49" s="50">
        <f t="shared" si="3"/>
        <v>125600</v>
      </c>
      <c r="P49" s="50">
        <f t="shared" si="4"/>
        <v>125600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106</v>
      </c>
      <c r="E53" s="15"/>
      <c r="F53" s="15"/>
      <c r="G53" s="15">
        <f t="shared" si="0"/>
        <v>106</v>
      </c>
      <c r="H53" s="15">
        <v>5</v>
      </c>
      <c r="I53" s="20"/>
      <c r="J53" s="76">
        <f t="shared" si="1"/>
        <v>101</v>
      </c>
      <c r="K53" s="76">
        <v>0</v>
      </c>
      <c r="L53" s="76">
        <f t="shared" si="2"/>
        <v>101</v>
      </c>
      <c r="M53" s="84"/>
      <c r="N53" s="99">
        <v>1600</v>
      </c>
      <c r="O53" s="50">
        <f t="shared" si="3"/>
        <v>161600</v>
      </c>
      <c r="P53" s="50">
        <f t="shared" si="4"/>
        <v>161600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774</v>
      </c>
      <c r="E54" s="15"/>
      <c r="F54" s="15"/>
      <c r="G54" s="15">
        <f t="shared" si="0"/>
        <v>774</v>
      </c>
      <c r="H54" s="15"/>
      <c r="I54" s="16"/>
      <c r="J54" s="76">
        <f t="shared" si="1"/>
        <v>774</v>
      </c>
      <c r="K54" s="76">
        <v>-350</v>
      </c>
      <c r="L54" s="76">
        <f t="shared" si="2"/>
        <v>424</v>
      </c>
      <c r="M54" s="84"/>
      <c r="N54" s="99">
        <v>375</v>
      </c>
      <c r="O54" s="50">
        <f t="shared" si="3"/>
        <v>159000</v>
      </c>
      <c r="P54" s="50">
        <f t="shared" si="4"/>
        <v>290250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143</v>
      </c>
      <c r="E55" s="15"/>
      <c r="F55" s="15"/>
      <c r="G55" s="15">
        <f t="shared" si="0"/>
        <v>143</v>
      </c>
      <c r="H55" s="15"/>
      <c r="I55" s="21"/>
      <c r="J55" s="76">
        <f t="shared" si="1"/>
        <v>143</v>
      </c>
      <c r="K55" s="76">
        <v>9</v>
      </c>
      <c r="L55" s="76">
        <f t="shared" si="2"/>
        <v>152</v>
      </c>
      <c r="M55" s="30"/>
      <c r="N55" s="99">
        <v>425</v>
      </c>
      <c r="O55" s="50">
        <f t="shared" si="3"/>
        <v>64600</v>
      </c>
      <c r="P55" s="50">
        <f t="shared" si="4"/>
        <v>60775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264</v>
      </c>
      <c r="E56" s="15"/>
      <c r="F56" s="15"/>
      <c r="G56" s="15">
        <f t="shared" si="0"/>
        <v>264</v>
      </c>
      <c r="H56" s="15">
        <v>10</v>
      </c>
      <c r="I56" s="22"/>
      <c r="J56" s="76">
        <f t="shared" si="1"/>
        <v>254</v>
      </c>
      <c r="K56" s="76">
        <v>-220</v>
      </c>
      <c r="L56" s="76">
        <f t="shared" si="2"/>
        <v>34</v>
      </c>
      <c r="M56" s="84"/>
      <c r="N56" s="99">
        <v>390</v>
      </c>
      <c r="O56" s="50">
        <f t="shared" si="3"/>
        <v>13260</v>
      </c>
      <c r="P56" s="50">
        <f t="shared" si="4"/>
        <v>99060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104</v>
      </c>
      <c r="E58" s="15"/>
      <c r="F58" s="15"/>
      <c r="G58" s="15">
        <f t="shared" si="0"/>
        <v>104</v>
      </c>
      <c r="H58" s="15">
        <v>12</v>
      </c>
      <c r="I58" s="16"/>
      <c r="J58" s="76">
        <f t="shared" si="1"/>
        <v>92</v>
      </c>
      <c r="K58" s="76">
        <v>0</v>
      </c>
      <c r="L58" s="76">
        <f t="shared" si="2"/>
        <v>92</v>
      </c>
      <c r="M58" s="30"/>
      <c r="N58" s="99">
        <v>132</v>
      </c>
      <c r="O58" s="50">
        <f t="shared" si="3"/>
        <v>12144</v>
      </c>
      <c r="P58" s="50">
        <f t="shared" si="4"/>
        <v>12144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344</v>
      </c>
      <c r="E59" s="15"/>
      <c r="F59" s="15"/>
      <c r="G59" s="15">
        <f t="shared" si="0"/>
        <v>344</v>
      </c>
      <c r="H59" s="15">
        <v>9</v>
      </c>
      <c r="I59" s="16"/>
      <c r="J59" s="76">
        <f t="shared" si="1"/>
        <v>335</v>
      </c>
      <c r="K59" s="76">
        <v>0</v>
      </c>
      <c r="L59" s="76">
        <f t="shared" si="2"/>
        <v>335</v>
      </c>
      <c r="M59" s="84"/>
      <c r="N59" s="99">
        <v>570</v>
      </c>
      <c r="O59" s="50">
        <f t="shared" si="3"/>
        <v>190950</v>
      </c>
      <c r="P59" s="50">
        <f t="shared" si="4"/>
        <v>190950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16950</v>
      </c>
      <c r="E62" s="15"/>
      <c r="F62" s="15"/>
      <c r="G62" s="15">
        <f t="shared" si="0"/>
        <v>16950</v>
      </c>
      <c r="H62" s="15">
        <v>73</v>
      </c>
      <c r="I62" s="16"/>
      <c r="J62" s="76">
        <f t="shared" si="1"/>
        <v>16877</v>
      </c>
      <c r="K62" s="76">
        <v>187</v>
      </c>
      <c r="L62" s="76">
        <f t="shared" si="2"/>
        <v>17064</v>
      </c>
      <c r="M62" s="30"/>
      <c r="N62" s="99">
        <v>87.38</v>
      </c>
      <c r="O62" s="50">
        <f t="shared" si="3"/>
        <v>1491052.3199999998</v>
      </c>
      <c r="P62" s="50">
        <f t="shared" si="4"/>
        <v>1474712.26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33</v>
      </c>
      <c r="E63" s="15"/>
      <c r="F63" s="15"/>
      <c r="G63" s="15">
        <f t="shared" si="0"/>
        <v>33</v>
      </c>
      <c r="H63" s="15"/>
      <c r="I63" s="16"/>
      <c r="J63" s="76">
        <f t="shared" si="1"/>
        <v>33</v>
      </c>
      <c r="K63" s="76">
        <v>300</v>
      </c>
      <c r="L63" s="76">
        <f t="shared" si="2"/>
        <v>333</v>
      </c>
      <c r="M63" s="84"/>
      <c r="N63" s="99">
        <v>290</v>
      </c>
      <c r="O63" s="50">
        <f t="shared" si="3"/>
        <v>96570</v>
      </c>
      <c r="P63" s="50">
        <f t="shared" si="4"/>
        <v>9570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-5</v>
      </c>
      <c r="E64" s="23"/>
      <c r="F64" s="23"/>
      <c r="G64" s="23">
        <f t="shared" si="0"/>
        <v>-5</v>
      </c>
      <c r="H64" s="23">
        <v>77</v>
      </c>
      <c r="I64" s="23"/>
      <c r="J64" s="76">
        <f t="shared" si="1"/>
        <v>-82</v>
      </c>
      <c r="K64" s="79">
        <v>100</v>
      </c>
      <c r="L64" s="76">
        <f t="shared" si="2"/>
        <v>18</v>
      </c>
      <c r="M64" s="30"/>
      <c r="N64" s="99">
        <v>70</v>
      </c>
      <c r="O64" s="50">
        <f t="shared" si="3"/>
        <v>1260</v>
      </c>
      <c r="P64" s="50">
        <f t="shared" si="4"/>
        <v>-5740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912</v>
      </c>
      <c r="E65" s="24"/>
      <c r="F65" s="24"/>
      <c r="G65" s="16">
        <f t="shared" si="0"/>
        <v>912</v>
      </c>
      <c r="H65" s="24">
        <v>84</v>
      </c>
      <c r="I65" s="24"/>
      <c r="J65" s="76">
        <f t="shared" si="1"/>
        <v>828</v>
      </c>
      <c r="K65" s="80">
        <v>-550</v>
      </c>
      <c r="L65" s="76">
        <f t="shared" si="2"/>
        <v>278</v>
      </c>
      <c r="M65" s="86"/>
      <c r="N65" s="99">
        <v>240</v>
      </c>
      <c r="O65" s="50">
        <f t="shared" si="3"/>
        <v>66720</v>
      </c>
      <c r="P65" s="50">
        <f t="shared" si="4"/>
        <v>198720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395</v>
      </c>
      <c r="E66" s="24"/>
      <c r="F66" s="24"/>
      <c r="G66" s="16">
        <f t="shared" si="0"/>
        <v>395</v>
      </c>
      <c r="H66" s="24">
        <v>7</v>
      </c>
      <c r="I66" s="24"/>
      <c r="J66" s="76">
        <f t="shared" si="1"/>
        <v>388</v>
      </c>
      <c r="K66" s="81">
        <v>0</v>
      </c>
      <c r="L66" s="81">
        <f t="shared" si="2"/>
        <v>388</v>
      </c>
      <c r="M66" s="86"/>
      <c r="N66" s="99">
        <v>1100</v>
      </c>
      <c r="O66" s="50">
        <f t="shared" si="3"/>
        <v>426800</v>
      </c>
      <c r="P66" s="50">
        <f t="shared" si="4"/>
        <v>426800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988</v>
      </c>
      <c r="E67" s="24"/>
      <c r="F67" s="24"/>
      <c r="G67" s="16">
        <f t="shared" si="0"/>
        <v>988</v>
      </c>
      <c r="H67" s="24">
        <v>476</v>
      </c>
      <c r="I67" s="24"/>
      <c r="J67" s="76">
        <f t="shared" si="1"/>
        <v>512</v>
      </c>
      <c r="K67" s="80">
        <v>0</v>
      </c>
      <c r="L67" s="76">
        <f t="shared" si="2"/>
        <v>512</v>
      </c>
      <c r="M67" s="84"/>
      <c r="N67" s="99">
        <v>53</v>
      </c>
      <c r="O67" s="50">
        <f t="shared" si="3"/>
        <v>27136</v>
      </c>
      <c r="P67" s="50">
        <f t="shared" si="4"/>
        <v>27136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472</v>
      </c>
      <c r="E70" s="24"/>
      <c r="F70" s="24"/>
      <c r="G70" s="16">
        <f t="shared" si="0"/>
        <v>472</v>
      </c>
      <c r="H70" s="24">
        <v>4</v>
      </c>
      <c r="I70" s="24"/>
      <c r="J70" s="76">
        <f t="shared" si="1"/>
        <v>468</v>
      </c>
      <c r="K70" s="80">
        <v>-153</v>
      </c>
      <c r="L70" s="76">
        <f t="shared" si="2"/>
        <v>315</v>
      </c>
      <c r="M70" s="86"/>
      <c r="N70" s="99">
        <v>260</v>
      </c>
      <c r="O70" s="50">
        <f t="shared" si="3"/>
        <v>81900</v>
      </c>
      <c r="P70" s="50">
        <f t="shared" si="4"/>
        <v>121680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4483</v>
      </c>
      <c r="E72" s="24"/>
      <c r="F72" s="24"/>
      <c r="G72" s="16">
        <f t="shared" si="0"/>
        <v>4483</v>
      </c>
      <c r="H72" s="24">
        <v>125</v>
      </c>
      <c r="I72" s="24"/>
      <c r="J72" s="76">
        <f t="shared" si="5"/>
        <v>4358</v>
      </c>
      <c r="K72" s="80">
        <v>-200</v>
      </c>
      <c r="L72" s="76">
        <f t="shared" si="2"/>
        <v>4158</v>
      </c>
      <c r="M72" s="30"/>
      <c r="N72" s="99">
        <v>39</v>
      </c>
      <c r="O72" s="50">
        <f t="shared" si="6"/>
        <v>162162</v>
      </c>
      <c r="P72" s="50">
        <f t="shared" si="7"/>
        <v>169962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19615</v>
      </c>
      <c r="E73" s="24"/>
      <c r="F73" s="24"/>
      <c r="G73" s="16">
        <f t="shared" si="0"/>
        <v>19615</v>
      </c>
      <c r="H73" s="24">
        <v>56</v>
      </c>
      <c r="I73" s="42"/>
      <c r="J73" s="76">
        <f t="shared" si="5"/>
        <v>19559</v>
      </c>
      <c r="K73" s="80">
        <v>0</v>
      </c>
      <c r="L73" s="76">
        <f t="shared" si="2"/>
        <v>19559</v>
      </c>
      <c r="M73" s="84"/>
      <c r="N73" s="99">
        <v>83</v>
      </c>
      <c r="O73" s="50">
        <f t="shared" si="6"/>
        <v>1623397</v>
      </c>
      <c r="P73" s="50">
        <f t="shared" si="7"/>
        <v>1623397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1919</v>
      </c>
      <c r="E75" s="24"/>
      <c r="F75" s="24"/>
      <c r="G75" s="16">
        <f t="shared" si="0"/>
        <v>1919</v>
      </c>
      <c r="H75" s="24">
        <v>343</v>
      </c>
      <c r="I75" s="24"/>
      <c r="J75" s="76">
        <f t="shared" si="5"/>
        <v>1576</v>
      </c>
      <c r="K75" s="80">
        <v>273</v>
      </c>
      <c r="L75" s="76">
        <f t="shared" si="2"/>
        <v>1849</v>
      </c>
      <c r="M75" s="86"/>
      <c r="N75" s="99">
        <v>16</v>
      </c>
      <c r="O75" s="50">
        <f t="shared" si="6"/>
        <v>29584</v>
      </c>
      <c r="P75" s="50">
        <f t="shared" si="7"/>
        <v>25216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483</v>
      </c>
      <c r="E76" s="24"/>
      <c r="F76" s="24"/>
      <c r="G76" s="16">
        <f t="shared" si="0"/>
        <v>483</v>
      </c>
      <c r="H76" s="24">
        <v>10</v>
      </c>
      <c r="I76" s="24"/>
      <c r="J76" s="76">
        <f t="shared" si="5"/>
        <v>473</v>
      </c>
      <c r="K76" s="80">
        <v>-250</v>
      </c>
      <c r="L76" s="76">
        <f t="shared" si="2"/>
        <v>223</v>
      </c>
      <c r="M76" s="30"/>
      <c r="N76" s="99">
        <v>400</v>
      </c>
      <c r="O76" s="50">
        <f t="shared" si="6"/>
        <v>89200</v>
      </c>
      <c r="P76" s="50">
        <f t="shared" si="7"/>
        <v>189200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212</v>
      </c>
      <c r="E78" s="24"/>
      <c r="F78" s="24"/>
      <c r="G78" s="16">
        <f t="shared" si="0"/>
        <v>212</v>
      </c>
      <c r="H78" s="24">
        <v>5</v>
      </c>
      <c r="I78" s="24"/>
      <c r="J78" s="76">
        <f t="shared" si="5"/>
        <v>207</v>
      </c>
      <c r="K78" s="80">
        <v>100</v>
      </c>
      <c r="L78" s="76">
        <f t="shared" si="2"/>
        <v>307</v>
      </c>
      <c r="M78" s="86"/>
      <c r="N78" s="99">
        <v>900</v>
      </c>
      <c r="O78" s="50">
        <f t="shared" si="6"/>
        <v>276300</v>
      </c>
      <c r="P78" s="50">
        <f t="shared" si="7"/>
        <v>186300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6285</v>
      </c>
      <c r="E83" s="98"/>
      <c r="F83" s="24"/>
      <c r="G83" s="16">
        <f t="shared" si="8"/>
        <v>6285</v>
      </c>
      <c r="H83" s="24"/>
      <c r="I83" s="95"/>
      <c r="J83" s="76">
        <f t="shared" si="5"/>
        <v>6285</v>
      </c>
      <c r="K83" s="81">
        <v>0</v>
      </c>
      <c r="L83" s="76">
        <f t="shared" si="2"/>
        <v>6285</v>
      </c>
      <c r="M83" s="85"/>
      <c r="N83" s="100">
        <v>64</v>
      </c>
      <c r="O83" s="50">
        <f t="shared" si="6"/>
        <v>402240</v>
      </c>
      <c r="P83" s="50">
        <f t="shared" si="7"/>
        <v>402240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24</v>
      </c>
      <c r="E84" s="89"/>
      <c r="F84" s="12"/>
      <c r="G84" s="45">
        <f t="shared" si="8"/>
        <v>24</v>
      </c>
      <c r="H84" s="12">
        <v>1</v>
      </c>
      <c r="I84" s="94"/>
      <c r="J84" s="82">
        <f t="shared" ref="J84:J97" si="9">D84+E84-H84-I84</f>
        <v>23</v>
      </c>
      <c r="K84" s="96">
        <v>0</v>
      </c>
      <c r="L84" s="82">
        <f t="shared" si="2"/>
        <v>23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-8</v>
      </c>
      <c r="E85" s="90"/>
      <c r="F85" s="11"/>
      <c r="G85" s="16">
        <f t="shared" si="8"/>
        <v>-8</v>
      </c>
      <c r="H85" s="88"/>
      <c r="I85" s="11"/>
      <c r="J85" s="76">
        <f t="shared" si="9"/>
        <v>-8</v>
      </c>
      <c r="K85" s="97">
        <v>500</v>
      </c>
      <c r="L85" s="76">
        <f t="shared" si="2"/>
        <v>492</v>
      </c>
      <c r="M85" s="86"/>
      <c r="N85" s="99">
        <v>350</v>
      </c>
      <c r="O85" s="50">
        <f t="shared" si="6"/>
        <v>172200</v>
      </c>
      <c r="P85" s="50">
        <f t="shared" si="7"/>
        <v>-2800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354</v>
      </c>
      <c r="E86" s="90"/>
      <c r="F86" s="11"/>
      <c r="G86" s="16">
        <f t="shared" si="8"/>
        <v>354</v>
      </c>
      <c r="H86" s="88">
        <v>15</v>
      </c>
      <c r="I86" s="11"/>
      <c r="J86" s="76">
        <f t="shared" si="9"/>
        <v>339</v>
      </c>
      <c r="K86" s="97">
        <v>300</v>
      </c>
      <c r="L86" s="76">
        <f t="shared" si="2"/>
        <v>639</v>
      </c>
      <c r="M86" s="84"/>
      <c r="N86" s="99">
        <v>165</v>
      </c>
      <c r="O86" s="50">
        <f t="shared" si="6"/>
        <v>105435</v>
      </c>
      <c r="P86" s="50">
        <f t="shared" si="7"/>
        <v>55935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291</v>
      </c>
      <c r="E87" s="11"/>
      <c r="F87" s="11"/>
      <c r="G87" s="16">
        <f t="shared" si="8"/>
        <v>291</v>
      </c>
      <c r="H87" s="88"/>
      <c r="I87" s="11"/>
      <c r="J87" s="76">
        <f t="shared" si="9"/>
        <v>291</v>
      </c>
      <c r="K87" s="97">
        <v>-1</v>
      </c>
      <c r="L87" s="76">
        <f t="shared" si="2"/>
        <v>290</v>
      </c>
      <c r="M87" s="86"/>
      <c r="N87" s="99">
        <v>630</v>
      </c>
      <c r="O87" s="50">
        <f t="shared" si="6"/>
        <v>182700</v>
      </c>
      <c r="P87" s="50">
        <f t="shared" si="7"/>
        <v>183330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66</v>
      </c>
      <c r="E88" s="11"/>
      <c r="F88" s="11"/>
      <c r="G88" s="16">
        <f t="shared" si="8"/>
        <v>66</v>
      </c>
      <c r="H88" s="88">
        <v>4</v>
      </c>
      <c r="I88" s="11"/>
      <c r="J88" s="76">
        <f t="shared" si="9"/>
        <v>62</v>
      </c>
      <c r="K88" s="97">
        <v>8</v>
      </c>
      <c r="L88" s="76">
        <f t="shared" ref="L88:L97" si="10">J88+K88</f>
        <v>70</v>
      </c>
      <c r="M88" s="86"/>
      <c r="N88" s="99">
        <v>285</v>
      </c>
      <c r="O88" s="50">
        <f t="shared" si="6"/>
        <v>19950</v>
      </c>
      <c r="P88" s="50">
        <f t="shared" si="7"/>
        <v>17670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571</v>
      </c>
      <c r="E92" s="88"/>
      <c r="F92" s="11"/>
      <c r="G92" s="16">
        <f t="shared" si="8"/>
        <v>571</v>
      </c>
      <c r="H92" s="88">
        <v>8</v>
      </c>
      <c r="I92" s="11"/>
      <c r="J92" s="83">
        <f t="shared" si="9"/>
        <v>563</v>
      </c>
      <c r="K92" s="97">
        <v>0</v>
      </c>
      <c r="L92" s="76">
        <f t="shared" si="10"/>
        <v>563</v>
      </c>
      <c r="M92" s="86"/>
      <c r="N92" s="99">
        <v>113</v>
      </c>
      <c r="O92" s="50">
        <f t="shared" si="6"/>
        <v>63619</v>
      </c>
      <c r="P92" s="50">
        <f t="shared" si="7"/>
        <v>63619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349</v>
      </c>
      <c r="E94" s="88"/>
      <c r="F94" s="11"/>
      <c r="G94" s="16">
        <f t="shared" si="8"/>
        <v>349</v>
      </c>
      <c r="H94" s="88">
        <v>6</v>
      </c>
      <c r="I94" s="11"/>
      <c r="J94" s="83">
        <f t="shared" si="9"/>
        <v>343</v>
      </c>
      <c r="K94" s="97">
        <v>-50</v>
      </c>
      <c r="L94" s="76">
        <f t="shared" si="10"/>
        <v>293</v>
      </c>
      <c r="M94" s="86"/>
      <c r="N94" s="99">
        <v>950</v>
      </c>
      <c r="O94" s="50">
        <f t="shared" si="6"/>
        <v>278350</v>
      </c>
      <c r="P94" s="50">
        <f t="shared" si="7"/>
        <v>325850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1289382.2549999999</v>
      </c>
      <c r="E98" s="27">
        <f t="shared" ref="E98:L98" si="11">SUM(E6:E97)</f>
        <v>50180</v>
      </c>
      <c r="F98" s="27">
        <f t="shared" si="11"/>
        <v>322</v>
      </c>
      <c r="G98" s="27">
        <f t="shared" si="11"/>
        <v>1339240.2549999999</v>
      </c>
      <c r="H98" s="27">
        <f t="shared" si="11"/>
        <v>62562</v>
      </c>
      <c r="I98" s="27">
        <f t="shared" si="11"/>
        <v>0</v>
      </c>
      <c r="J98" s="27">
        <f t="shared" si="11"/>
        <v>1276678.2549999999</v>
      </c>
      <c r="K98" s="27">
        <f t="shared" si="11"/>
        <v>-586999</v>
      </c>
      <c r="L98" s="27">
        <f t="shared" si="11"/>
        <v>689679.25499999989</v>
      </c>
      <c r="M98" s="27">
        <f>SUM(M6:M96)</f>
        <v>0</v>
      </c>
      <c r="N98" s="51"/>
      <c r="O98" s="51">
        <f t="shared" ref="O98" si="12">SUM(O6:O97)</f>
        <v>29863770.630000003</v>
      </c>
      <c r="P98" s="51">
        <f>SUM(P6:P97)</f>
        <v>42486741.329999998</v>
      </c>
      <c r="Q98" s="57">
        <f>O98-P98</f>
        <v>-12622970.699999996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06" t="s">
        <v>115</v>
      </c>
      <c r="M100" s="106"/>
      <c r="O100" s="55" t="s">
        <v>110</v>
      </c>
      <c r="P100" s="54">
        <v>79909923</v>
      </c>
    </row>
    <row r="101" spans="1:22">
      <c r="P101" s="54">
        <f>P100-P98</f>
        <v>37423181.670000002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I35" sqref="I35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140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3990</v>
      </c>
      <c r="E6" s="15">
        <f>3990+10120</f>
        <v>14110</v>
      </c>
      <c r="F6" s="16"/>
      <c r="G6" s="15">
        <f>D6+E6-F6</f>
        <v>18100</v>
      </c>
      <c r="H6" s="15">
        <v>26787</v>
      </c>
      <c r="I6" s="16"/>
      <c r="J6" s="15">
        <f>G6-H6-I6</f>
        <v>-8687</v>
      </c>
      <c r="K6" s="15">
        <v>8000</v>
      </c>
      <c r="L6" s="15">
        <f>J6+K6</f>
        <v>-687</v>
      </c>
      <c r="M6" s="30" t="s">
        <v>75</v>
      </c>
      <c r="N6" s="99">
        <v>21.5</v>
      </c>
      <c r="O6" s="50">
        <f>L6*N6</f>
        <v>-14770.5</v>
      </c>
      <c r="P6" s="50">
        <f>J6*N6</f>
        <v>-186770.5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85211</v>
      </c>
      <c r="E7" s="15">
        <v>15000</v>
      </c>
      <c r="F7" s="15"/>
      <c r="G7" s="15">
        <f t="shared" ref="G7:G80" si="0">D7+E7-F7</f>
        <v>100211</v>
      </c>
      <c r="H7" s="15">
        <v>15158</v>
      </c>
      <c r="I7" s="15"/>
      <c r="J7" s="15">
        <f t="shared" ref="J7:J70" si="1">G7-H7-I7</f>
        <v>85053</v>
      </c>
      <c r="K7" s="15">
        <v>-5000</v>
      </c>
      <c r="L7" s="15">
        <f t="shared" ref="L7:L87" si="2">J7+K7</f>
        <v>80053</v>
      </c>
      <c r="M7" s="30" t="s">
        <v>75</v>
      </c>
      <c r="N7" s="99">
        <v>38</v>
      </c>
      <c r="O7" s="50">
        <f t="shared" ref="O7:O70" si="3">L7*N7</f>
        <v>3042014</v>
      </c>
      <c r="P7" s="50">
        <f t="shared" ref="P7:P70" si="4">J7*N7</f>
        <v>3232014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18747</v>
      </c>
      <c r="E8" s="15"/>
      <c r="F8" s="15"/>
      <c r="G8" s="15">
        <f t="shared" si="0"/>
        <v>18747</v>
      </c>
      <c r="H8" s="15">
        <v>6377</v>
      </c>
      <c r="I8" s="15"/>
      <c r="J8" s="15">
        <f t="shared" si="1"/>
        <v>12370</v>
      </c>
      <c r="K8" s="15">
        <v>0</v>
      </c>
      <c r="L8" s="15">
        <f t="shared" si="2"/>
        <v>12370</v>
      </c>
      <c r="M8" s="30" t="s">
        <v>75</v>
      </c>
      <c r="N8" s="99">
        <v>12</v>
      </c>
      <c r="O8" s="50">
        <f t="shared" si="3"/>
        <v>148440</v>
      </c>
      <c r="P8" s="50">
        <f t="shared" si="4"/>
        <v>148440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674850</v>
      </c>
      <c r="E10" s="15"/>
      <c r="F10" s="15"/>
      <c r="G10" s="15">
        <f t="shared" si="0"/>
        <v>674850</v>
      </c>
      <c r="H10" s="15">
        <v>5858</v>
      </c>
      <c r="I10" s="15"/>
      <c r="J10" s="15">
        <f t="shared" si="1"/>
        <v>668992</v>
      </c>
      <c r="K10" s="15">
        <v>-607000</v>
      </c>
      <c r="L10" s="15">
        <f t="shared" si="2"/>
        <v>61992</v>
      </c>
      <c r="M10" s="30"/>
      <c r="N10" s="99">
        <v>23.09</v>
      </c>
      <c r="O10" s="50">
        <f t="shared" si="3"/>
        <v>1431395.28</v>
      </c>
      <c r="P10" s="50">
        <f t="shared" si="4"/>
        <v>15447025.279999999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-4256</v>
      </c>
      <c r="E11" s="15"/>
      <c r="F11" s="15"/>
      <c r="G11" s="15">
        <f t="shared" si="0"/>
        <v>-4256</v>
      </c>
      <c r="H11" s="15">
        <v>841</v>
      </c>
      <c r="I11" s="15"/>
      <c r="J11" s="15">
        <f t="shared" si="1"/>
        <v>-5097</v>
      </c>
      <c r="K11" s="15">
        <v>2000</v>
      </c>
      <c r="L11" s="15">
        <f t="shared" si="2"/>
        <v>-3097</v>
      </c>
      <c r="M11" s="30" t="s">
        <v>75</v>
      </c>
      <c r="N11" s="99">
        <v>16.5</v>
      </c>
      <c r="O11" s="50">
        <f t="shared" si="3"/>
        <v>-51100.5</v>
      </c>
      <c r="P11" s="50">
        <f t="shared" si="4"/>
        <v>-84100.5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3054</v>
      </c>
      <c r="E13" s="15"/>
      <c r="F13" s="15"/>
      <c r="G13" s="15">
        <f t="shared" si="0"/>
        <v>3054</v>
      </c>
      <c r="H13" s="15">
        <v>3991</v>
      </c>
      <c r="I13" s="15"/>
      <c r="J13" s="15">
        <f t="shared" si="1"/>
        <v>-937</v>
      </c>
      <c r="K13" s="15">
        <v>5000</v>
      </c>
      <c r="L13" s="15">
        <f t="shared" si="2"/>
        <v>4063</v>
      </c>
      <c r="M13" s="30" t="s">
        <v>75</v>
      </c>
      <c r="N13" s="99">
        <v>27.5</v>
      </c>
      <c r="O13" s="50">
        <f t="shared" si="3"/>
        <v>111732.5</v>
      </c>
      <c r="P13" s="50">
        <f t="shared" si="4"/>
        <v>-25767.5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15974</v>
      </c>
      <c r="E14" s="15"/>
      <c r="F14" s="15"/>
      <c r="G14" s="15">
        <f t="shared" si="0"/>
        <v>15974</v>
      </c>
      <c r="H14" s="15">
        <v>495</v>
      </c>
      <c r="I14" s="16"/>
      <c r="J14" s="15">
        <f t="shared" si="1"/>
        <v>15479</v>
      </c>
      <c r="K14" s="15">
        <v>-1000</v>
      </c>
      <c r="L14" s="15">
        <f t="shared" si="2"/>
        <v>14479</v>
      </c>
      <c r="M14" s="30"/>
      <c r="N14" s="99">
        <v>59</v>
      </c>
      <c r="O14" s="50">
        <f t="shared" si="3"/>
        <v>854261</v>
      </c>
      <c r="P14" s="50">
        <f t="shared" si="4"/>
        <v>913261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32442</v>
      </c>
      <c r="E16" s="29"/>
      <c r="F16" s="15"/>
      <c r="G16" s="15">
        <f t="shared" si="0"/>
        <v>32442</v>
      </c>
      <c r="H16" s="15">
        <v>713</v>
      </c>
      <c r="I16" s="16"/>
      <c r="J16" s="15">
        <f t="shared" si="1"/>
        <v>31729</v>
      </c>
      <c r="K16" s="15">
        <v>0</v>
      </c>
      <c r="L16" s="15">
        <f>J16+K16</f>
        <v>31729</v>
      </c>
      <c r="M16" s="30"/>
      <c r="N16" s="99">
        <v>43.25</v>
      </c>
      <c r="O16" s="50">
        <f t="shared" si="3"/>
        <v>1372279.25</v>
      </c>
      <c r="P16" s="50">
        <f t="shared" si="4"/>
        <v>1372279.25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16672</v>
      </c>
      <c r="E19" s="15"/>
      <c r="F19" s="15"/>
      <c r="G19" s="15">
        <f t="shared" si="0"/>
        <v>16672</v>
      </c>
      <c r="H19" s="15">
        <v>1246</v>
      </c>
      <c r="I19" s="16"/>
      <c r="J19" s="15">
        <f t="shared" si="1"/>
        <v>15426</v>
      </c>
      <c r="K19" s="15">
        <v>1000</v>
      </c>
      <c r="L19" s="15">
        <f t="shared" si="2"/>
        <v>16426</v>
      </c>
      <c r="M19" s="30"/>
      <c r="N19" s="99">
        <v>22.8</v>
      </c>
      <c r="O19" s="50">
        <f t="shared" si="3"/>
        <v>374512.8</v>
      </c>
      <c r="P19" s="50">
        <f t="shared" si="4"/>
        <v>351712.8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8150</v>
      </c>
      <c r="E20" s="15"/>
      <c r="F20" s="15"/>
      <c r="G20" s="15">
        <f t="shared" si="0"/>
        <v>8150</v>
      </c>
      <c r="H20" s="15">
        <v>30</v>
      </c>
      <c r="I20" s="16"/>
      <c r="J20" s="15">
        <f t="shared" si="1"/>
        <v>8120</v>
      </c>
      <c r="K20" s="15">
        <v>0</v>
      </c>
      <c r="L20" s="15">
        <f t="shared" si="2"/>
        <v>8120</v>
      </c>
      <c r="M20" s="30" t="s">
        <v>75</v>
      </c>
      <c r="N20" s="99">
        <v>20</v>
      </c>
      <c r="O20" s="50">
        <f t="shared" si="3"/>
        <v>162400</v>
      </c>
      <c r="P20" s="50">
        <f t="shared" si="4"/>
        <v>162400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8210</v>
      </c>
      <c r="E21" s="15"/>
      <c r="F21" s="15"/>
      <c r="G21" s="15">
        <f t="shared" si="0"/>
        <v>8210</v>
      </c>
      <c r="H21" s="15">
        <v>595</v>
      </c>
      <c r="I21" s="16"/>
      <c r="J21" s="15">
        <f t="shared" si="1"/>
        <v>7615</v>
      </c>
      <c r="K21" s="15">
        <v>0</v>
      </c>
      <c r="L21" s="15">
        <f t="shared" si="2"/>
        <v>7615</v>
      </c>
      <c r="M21" s="30"/>
      <c r="N21" s="99">
        <v>8.5</v>
      </c>
      <c r="O21" s="50">
        <f t="shared" si="3"/>
        <v>64727.5</v>
      </c>
      <c r="P21" s="50">
        <f t="shared" si="4"/>
        <v>64727.5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253046</v>
      </c>
      <c r="E22" s="15"/>
      <c r="F22" s="15"/>
      <c r="G22" s="15">
        <f t="shared" si="0"/>
        <v>253046</v>
      </c>
      <c r="H22" s="15">
        <v>1269</v>
      </c>
      <c r="I22" s="16"/>
      <c r="J22" s="15">
        <f t="shared" si="1"/>
        <v>251777</v>
      </c>
      <c r="K22" s="15">
        <v>8000</v>
      </c>
      <c r="L22" s="15">
        <f t="shared" si="2"/>
        <v>259777</v>
      </c>
      <c r="M22" s="30"/>
      <c r="N22" s="99">
        <v>8.5</v>
      </c>
      <c r="O22" s="50">
        <f t="shared" si="3"/>
        <v>2208104.5</v>
      </c>
      <c r="P22" s="50">
        <f t="shared" si="4"/>
        <v>2140104.5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4901</v>
      </c>
      <c r="E23" s="15"/>
      <c r="F23" s="15"/>
      <c r="G23" s="15">
        <f t="shared" si="0"/>
        <v>4901</v>
      </c>
      <c r="H23" s="15">
        <v>1391</v>
      </c>
      <c r="I23" s="16"/>
      <c r="J23" s="15">
        <f t="shared" si="1"/>
        <v>3510</v>
      </c>
      <c r="K23" s="15">
        <v>1500</v>
      </c>
      <c r="L23" s="15">
        <f t="shared" si="2"/>
        <v>5010</v>
      </c>
      <c r="M23" s="30" t="s">
        <v>75</v>
      </c>
      <c r="N23" s="99">
        <v>82</v>
      </c>
      <c r="O23" s="50">
        <f t="shared" si="3"/>
        <v>410820</v>
      </c>
      <c r="P23" s="50">
        <f t="shared" si="4"/>
        <v>287820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20141</v>
      </c>
      <c r="E24" s="29"/>
      <c r="F24" s="29"/>
      <c r="G24" s="15">
        <f t="shared" si="0"/>
        <v>20141</v>
      </c>
      <c r="H24" s="15">
        <v>2830</v>
      </c>
      <c r="I24" s="16"/>
      <c r="J24" s="15">
        <f t="shared" si="1"/>
        <v>17311</v>
      </c>
      <c r="K24" s="15">
        <v>2713</v>
      </c>
      <c r="L24" s="15">
        <f t="shared" si="2"/>
        <v>20024</v>
      </c>
      <c r="M24" s="30"/>
      <c r="N24" s="99">
        <v>22.1</v>
      </c>
      <c r="O24" s="50">
        <f t="shared" si="3"/>
        <v>442530.4</v>
      </c>
      <c r="P24" s="50">
        <f t="shared" si="4"/>
        <v>382573.10000000003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10297</v>
      </c>
      <c r="E26" s="15"/>
      <c r="F26" s="15"/>
      <c r="G26" s="15">
        <f t="shared" si="0"/>
        <v>10297</v>
      </c>
      <c r="H26" s="15">
        <v>1317</v>
      </c>
      <c r="I26" s="16"/>
      <c r="J26" s="76">
        <f t="shared" si="1"/>
        <v>8980</v>
      </c>
      <c r="K26" s="76">
        <v>0</v>
      </c>
      <c r="L26" s="76">
        <f t="shared" si="2"/>
        <v>8980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10028</v>
      </c>
      <c r="E31" s="15"/>
      <c r="F31" s="15"/>
      <c r="G31" s="15">
        <f t="shared" si="0"/>
        <v>10028</v>
      </c>
      <c r="H31" s="15">
        <v>19</v>
      </c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74</v>
      </c>
      <c r="D32" s="15">
        <v>0</v>
      </c>
      <c r="E32" s="15"/>
      <c r="F32" s="15"/>
      <c r="G32" s="15">
        <f t="shared" si="0"/>
        <v>0</v>
      </c>
      <c r="H32" s="15"/>
      <c r="I32" s="16"/>
      <c r="J32" s="76">
        <f t="shared" si="1"/>
        <v>0</v>
      </c>
      <c r="K32" s="76"/>
      <c r="L32" s="76">
        <f t="shared" si="2"/>
        <v>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16830</v>
      </c>
      <c r="E33" s="15"/>
      <c r="F33" s="15"/>
      <c r="G33" s="15">
        <f t="shared" si="0"/>
        <v>16830</v>
      </c>
      <c r="H33" s="15">
        <v>301</v>
      </c>
      <c r="I33" s="16"/>
      <c r="J33" s="76">
        <f t="shared" si="1"/>
        <v>16529</v>
      </c>
      <c r="K33" s="76">
        <v>206</v>
      </c>
      <c r="L33" s="76">
        <f t="shared" si="2"/>
        <v>16735</v>
      </c>
      <c r="M33" s="30"/>
      <c r="N33" s="99">
        <v>12.49</v>
      </c>
      <c r="O33" s="50">
        <f t="shared" si="3"/>
        <v>209020.15</v>
      </c>
      <c r="P33" s="50">
        <f t="shared" si="4"/>
        <v>206447.21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250</v>
      </c>
      <c r="E34" s="15"/>
      <c r="F34" s="15"/>
      <c r="G34" s="15">
        <f t="shared" si="0"/>
        <v>250</v>
      </c>
      <c r="H34" s="15">
        <v>7</v>
      </c>
      <c r="I34" s="16"/>
      <c r="J34" s="76">
        <f t="shared" si="1"/>
        <v>243</v>
      </c>
      <c r="K34" s="76">
        <v>-50</v>
      </c>
      <c r="L34" s="76">
        <f t="shared" si="2"/>
        <v>193</v>
      </c>
      <c r="M34" s="77"/>
      <c r="N34" s="99">
        <v>435</v>
      </c>
      <c r="O34" s="50">
        <f t="shared" si="3"/>
        <v>83955</v>
      </c>
      <c r="P34" s="50">
        <f t="shared" si="4"/>
        <v>105705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187</v>
      </c>
      <c r="E35" s="15"/>
      <c r="F35" s="15"/>
      <c r="G35" s="15">
        <f t="shared" si="0"/>
        <v>187</v>
      </c>
      <c r="H35" s="15">
        <v>1</v>
      </c>
      <c r="I35" s="16"/>
      <c r="J35" s="76">
        <f>G35-H35-I35</f>
        <v>186</v>
      </c>
      <c r="K35" s="76">
        <v>-50</v>
      </c>
      <c r="L35" s="76">
        <f t="shared" si="2"/>
        <v>136</v>
      </c>
      <c r="M35" s="84"/>
      <c r="N35" s="99">
        <v>730</v>
      </c>
      <c r="O35" s="50">
        <f t="shared" si="3"/>
        <v>99280</v>
      </c>
      <c r="P35" s="50">
        <f t="shared" si="4"/>
        <v>135780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374</v>
      </c>
      <c r="E36" s="15"/>
      <c r="F36" s="15"/>
      <c r="G36" s="15">
        <f t="shared" si="0"/>
        <v>374</v>
      </c>
      <c r="H36" s="16">
        <v>2</v>
      </c>
      <c r="I36" s="16"/>
      <c r="J36" s="76">
        <f t="shared" si="1"/>
        <v>372</v>
      </c>
      <c r="K36" s="76">
        <v>-125</v>
      </c>
      <c r="L36" s="76">
        <f t="shared" si="2"/>
        <v>247</v>
      </c>
      <c r="M36" s="84"/>
      <c r="N36" s="99">
        <v>155</v>
      </c>
      <c r="O36" s="50">
        <f t="shared" si="3"/>
        <v>38285</v>
      </c>
      <c r="P36" s="50">
        <f t="shared" si="4"/>
        <v>57660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1369</v>
      </c>
      <c r="E37" s="15"/>
      <c r="F37" s="15"/>
      <c r="G37" s="15">
        <f t="shared" si="0"/>
        <v>1369</v>
      </c>
      <c r="H37" s="16"/>
      <c r="I37" s="16"/>
      <c r="J37" s="76">
        <f t="shared" si="1"/>
        <v>1369</v>
      </c>
      <c r="K37" s="76">
        <v>0</v>
      </c>
      <c r="L37" s="76">
        <f t="shared" si="2"/>
        <v>1369</v>
      </c>
      <c r="M37" s="84"/>
      <c r="N37" s="99">
        <v>125</v>
      </c>
      <c r="O37" s="50">
        <f t="shared" si="3"/>
        <v>171125</v>
      </c>
      <c r="P37" s="50">
        <f t="shared" si="4"/>
        <v>171125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247</v>
      </c>
      <c r="E39" s="15"/>
      <c r="F39" s="15"/>
      <c r="G39" s="15">
        <f t="shared" si="0"/>
        <v>247</v>
      </c>
      <c r="H39" s="16">
        <v>8</v>
      </c>
      <c r="I39" s="16"/>
      <c r="J39" s="76">
        <f t="shared" si="1"/>
        <v>239</v>
      </c>
      <c r="K39" s="76">
        <v>-70</v>
      </c>
      <c r="L39" s="76">
        <f t="shared" si="2"/>
        <v>169</v>
      </c>
      <c r="M39" s="84"/>
      <c r="N39" s="99">
        <v>975</v>
      </c>
      <c r="O39" s="50">
        <f t="shared" si="3"/>
        <v>164775</v>
      </c>
      <c r="P39" s="50">
        <f t="shared" si="4"/>
        <v>233025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291</v>
      </c>
      <c r="E41" s="15"/>
      <c r="F41" s="15"/>
      <c r="G41" s="15">
        <f t="shared" si="0"/>
        <v>291</v>
      </c>
      <c r="H41" s="16">
        <v>1</v>
      </c>
      <c r="I41" s="16"/>
      <c r="J41" s="76">
        <f t="shared" si="1"/>
        <v>290</v>
      </c>
      <c r="K41" s="76">
        <v>500</v>
      </c>
      <c r="L41" s="76">
        <f t="shared" si="2"/>
        <v>790</v>
      </c>
      <c r="M41" s="84"/>
      <c r="N41" s="99">
        <v>125</v>
      </c>
      <c r="O41" s="50">
        <f t="shared" si="3"/>
        <v>98750</v>
      </c>
      <c r="P41" s="50">
        <f t="shared" si="4"/>
        <v>36250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10920</v>
      </c>
      <c r="E44" s="15"/>
      <c r="F44" s="15"/>
      <c r="G44" s="15">
        <f t="shared" si="0"/>
        <v>10920</v>
      </c>
      <c r="H44" s="16">
        <v>182</v>
      </c>
      <c r="I44" s="16"/>
      <c r="J44" s="76">
        <f t="shared" si="1"/>
        <v>10738</v>
      </c>
      <c r="K44" s="76">
        <v>2200</v>
      </c>
      <c r="L44" s="76">
        <f t="shared" si="2"/>
        <v>12938</v>
      </c>
      <c r="M44" s="84"/>
      <c r="N44" s="99">
        <v>80</v>
      </c>
      <c r="O44" s="50">
        <f t="shared" si="3"/>
        <v>1035040</v>
      </c>
      <c r="P44" s="50">
        <f t="shared" si="4"/>
        <v>859040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17016</v>
      </c>
      <c r="E46" s="15"/>
      <c r="F46" s="15"/>
      <c r="G46" s="15">
        <f t="shared" si="0"/>
        <v>17016</v>
      </c>
      <c r="H46" s="16">
        <v>107</v>
      </c>
      <c r="I46" s="16"/>
      <c r="J46" s="76">
        <f t="shared" si="1"/>
        <v>16909</v>
      </c>
      <c r="K46" s="76">
        <v>-180</v>
      </c>
      <c r="L46" s="76">
        <f t="shared" si="2"/>
        <v>16729</v>
      </c>
      <c r="M46" s="84"/>
      <c r="N46" s="99">
        <v>275</v>
      </c>
      <c r="O46" s="50">
        <f t="shared" si="3"/>
        <v>4600475</v>
      </c>
      <c r="P46" s="50">
        <f t="shared" si="4"/>
        <v>4649975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157</v>
      </c>
      <c r="E49" s="15"/>
      <c r="F49" s="15"/>
      <c r="G49" s="15">
        <f t="shared" si="0"/>
        <v>157</v>
      </c>
      <c r="H49" s="15">
        <v>6</v>
      </c>
      <c r="I49" s="16"/>
      <c r="J49" s="76">
        <f t="shared" si="1"/>
        <v>151</v>
      </c>
      <c r="K49" s="76">
        <v>0</v>
      </c>
      <c r="L49" s="76">
        <f t="shared" si="2"/>
        <v>151</v>
      </c>
      <c r="M49" s="84"/>
      <c r="N49" s="99">
        <v>800</v>
      </c>
      <c r="O49" s="50">
        <f t="shared" si="3"/>
        <v>120800</v>
      </c>
      <c r="P49" s="50">
        <f t="shared" si="4"/>
        <v>120800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101</v>
      </c>
      <c r="E53" s="15"/>
      <c r="F53" s="15"/>
      <c r="G53" s="15">
        <f t="shared" si="0"/>
        <v>101</v>
      </c>
      <c r="H53" s="15">
        <v>1</v>
      </c>
      <c r="I53" s="20"/>
      <c r="J53" s="76">
        <f t="shared" si="1"/>
        <v>100</v>
      </c>
      <c r="K53" s="76">
        <v>0</v>
      </c>
      <c r="L53" s="76">
        <f t="shared" si="2"/>
        <v>100</v>
      </c>
      <c r="M53" s="84"/>
      <c r="N53" s="99">
        <v>1600</v>
      </c>
      <c r="O53" s="50">
        <f t="shared" si="3"/>
        <v>160000</v>
      </c>
      <c r="P53" s="50">
        <f t="shared" si="4"/>
        <v>160000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774</v>
      </c>
      <c r="E54" s="15"/>
      <c r="F54" s="15"/>
      <c r="G54" s="15">
        <f t="shared" si="0"/>
        <v>774</v>
      </c>
      <c r="H54" s="15">
        <v>7</v>
      </c>
      <c r="I54" s="16"/>
      <c r="J54" s="76">
        <f t="shared" si="1"/>
        <v>767</v>
      </c>
      <c r="K54" s="76">
        <v>-350</v>
      </c>
      <c r="L54" s="76">
        <f t="shared" si="2"/>
        <v>417</v>
      </c>
      <c r="M54" s="84"/>
      <c r="N54" s="99">
        <v>375</v>
      </c>
      <c r="O54" s="50">
        <f t="shared" si="3"/>
        <v>156375</v>
      </c>
      <c r="P54" s="50">
        <f t="shared" si="4"/>
        <v>287625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143</v>
      </c>
      <c r="E55" s="15"/>
      <c r="F55" s="15"/>
      <c r="G55" s="15">
        <f t="shared" si="0"/>
        <v>143</v>
      </c>
      <c r="H55" s="15"/>
      <c r="I55" s="21"/>
      <c r="J55" s="76">
        <f t="shared" si="1"/>
        <v>143</v>
      </c>
      <c r="K55" s="76">
        <v>9</v>
      </c>
      <c r="L55" s="76">
        <f t="shared" si="2"/>
        <v>152</v>
      </c>
      <c r="M55" s="30"/>
      <c r="N55" s="99">
        <v>425</v>
      </c>
      <c r="O55" s="50">
        <f t="shared" si="3"/>
        <v>64600</v>
      </c>
      <c r="P55" s="50">
        <f t="shared" si="4"/>
        <v>60775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254</v>
      </c>
      <c r="E56" s="15"/>
      <c r="F56" s="15"/>
      <c r="G56" s="15">
        <f t="shared" si="0"/>
        <v>254</v>
      </c>
      <c r="H56" s="15">
        <v>15</v>
      </c>
      <c r="I56" s="22"/>
      <c r="J56" s="76">
        <f t="shared" si="1"/>
        <v>239</v>
      </c>
      <c r="K56" s="76">
        <v>-220</v>
      </c>
      <c r="L56" s="76">
        <f t="shared" si="2"/>
        <v>19</v>
      </c>
      <c r="M56" s="84"/>
      <c r="N56" s="99">
        <v>390</v>
      </c>
      <c r="O56" s="50">
        <f t="shared" si="3"/>
        <v>7410</v>
      </c>
      <c r="P56" s="50">
        <f t="shared" si="4"/>
        <v>93210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92</v>
      </c>
      <c r="E58" s="15"/>
      <c r="F58" s="15"/>
      <c r="G58" s="15">
        <f t="shared" si="0"/>
        <v>92</v>
      </c>
      <c r="H58" s="15">
        <v>2</v>
      </c>
      <c r="I58" s="16"/>
      <c r="J58" s="76">
        <f t="shared" si="1"/>
        <v>90</v>
      </c>
      <c r="K58" s="76">
        <v>0</v>
      </c>
      <c r="L58" s="76">
        <f t="shared" si="2"/>
        <v>90</v>
      </c>
      <c r="M58" s="30"/>
      <c r="N58" s="99">
        <v>132</v>
      </c>
      <c r="O58" s="50">
        <f t="shared" si="3"/>
        <v>11880</v>
      </c>
      <c r="P58" s="50">
        <f t="shared" si="4"/>
        <v>11880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335</v>
      </c>
      <c r="E59" s="15"/>
      <c r="F59" s="15"/>
      <c r="G59" s="15">
        <f t="shared" si="0"/>
        <v>335</v>
      </c>
      <c r="H59" s="15">
        <v>7</v>
      </c>
      <c r="I59" s="16"/>
      <c r="J59" s="76">
        <f t="shared" si="1"/>
        <v>328</v>
      </c>
      <c r="K59" s="76">
        <v>0</v>
      </c>
      <c r="L59" s="76">
        <f t="shared" si="2"/>
        <v>328</v>
      </c>
      <c r="M59" s="84"/>
      <c r="N59" s="99">
        <v>570</v>
      </c>
      <c r="O59" s="50">
        <f t="shared" si="3"/>
        <v>186960</v>
      </c>
      <c r="P59" s="50">
        <f t="shared" si="4"/>
        <v>186960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16877</v>
      </c>
      <c r="E62" s="15"/>
      <c r="F62" s="15"/>
      <c r="G62" s="15">
        <f t="shared" si="0"/>
        <v>16877</v>
      </c>
      <c r="H62" s="15">
        <v>115</v>
      </c>
      <c r="I62" s="16"/>
      <c r="J62" s="76">
        <f t="shared" si="1"/>
        <v>16762</v>
      </c>
      <c r="K62" s="76">
        <v>187</v>
      </c>
      <c r="L62" s="76">
        <f t="shared" si="2"/>
        <v>16949</v>
      </c>
      <c r="M62" s="30"/>
      <c r="N62" s="99">
        <v>87.38</v>
      </c>
      <c r="O62" s="50">
        <f t="shared" si="3"/>
        <v>1481003.6199999999</v>
      </c>
      <c r="P62" s="50">
        <f t="shared" si="4"/>
        <v>1464663.5599999998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33</v>
      </c>
      <c r="E63" s="15"/>
      <c r="F63" s="15"/>
      <c r="G63" s="15">
        <f t="shared" si="0"/>
        <v>33</v>
      </c>
      <c r="H63" s="15">
        <v>3</v>
      </c>
      <c r="I63" s="16"/>
      <c r="J63" s="76">
        <f t="shared" si="1"/>
        <v>30</v>
      </c>
      <c r="K63" s="76">
        <v>300</v>
      </c>
      <c r="L63" s="76">
        <f t="shared" si="2"/>
        <v>330</v>
      </c>
      <c r="M63" s="84"/>
      <c r="N63" s="99">
        <v>290</v>
      </c>
      <c r="O63" s="50">
        <f t="shared" si="3"/>
        <v>95700</v>
      </c>
      <c r="P63" s="50">
        <f t="shared" si="4"/>
        <v>8700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-82</v>
      </c>
      <c r="E64" s="23"/>
      <c r="F64" s="23"/>
      <c r="G64" s="23">
        <f t="shared" si="0"/>
        <v>-82</v>
      </c>
      <c r="H64" s="23">
        <v>55</v>
      </c>
      <c r="I64" s="23"/>
      <c r="J64" s="76">
        <f t="shared" si="1"/>
        <v>-137</v>
      </c>
      <c r="K64" s="79">
        <v>100</v>
      </c>
      <c r="L64" s="76">
        <f t="shared" si="2"/>
        <v>-37</v>
      </c>
      <c r="M64" s="30"/>
      <c r="N64" s="99">
        <v>70</v>
      </c>
      <c r="O64" s="50">
        <f t="shared" si="3"/>
        <v>-2590</v>
      </c>
      <c r="P64" s="50">
        <f t="shared" si="4"/>
        <v>-9590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828</v>
      </c>
      <c r="E65" s="24"/>
      <c r="F65" s="24"/>
      <c r="G65" s="16">
        <f t="shared" si="0"/>
        <v>828</v>
      </c>
      <c r="H65" s="24">
        <v>130</v>
      </c>
      <c r="I65" s="24"/>
      <c r="J65" s="76">
        <f t="shared" si="1"/>
        <v>698</v>
      </c>
      <c r="K65" s="80">
        <v>-550</v>
      </c>
      <c r="L65" s="76">
        <f t="shared" si="2"/>
        <v>148</v>
      </c>
      <c r="M65" s="86"/>
      <c r="N65" s="99">
        <v>240</v>
      </c>
      <c r="O65" s="50">
        <f t="shared" si="3"/>
        <v>35520</v>
      </c>
      <c r="P65" s="50">
        <f t="shared" si="4"/>
        <v>167520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388</v>
      </c>
      <c r="E66" s="24"/>
      <c r="F66" s="24"/>
      <c r="G66" s="16">
        <f t="shared" si="0"/>
        <v>388</v>
      </c>
      <c r="H66" s="24">
        <v>4</v>
      </c>
      <c r="I66" s="24"/>
      <c r="J66" s="76">
        <f t="shared" si="1"/>
        <v>384</v>
      </c>
      <c r="K66" s="81">
        <v>0</v>
      </c>
      <c r="L66" s="81">
        <f t="shared" si="2"/>
        <v>384</v>
      </c>
      <c r="M66" s="86"/>
      <c r="N66" s="99">
        <v>1100</v>
      </c>
      <c r="O66" s="50">
        <f t="shared" si="3"/>
        <v>422400</v>
      </c>
      <c r="P66" s="50">
        <f t="shared" si="4"/>
        <v>422400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512</v>
      </c>
      <c r="E67" s="24"/>
      <c r="F67" s="24"/>
      <c r="G67" s="16">
        <f t="shared" si="0"/>
        <v>512</v>
      </c>
      <c r="H67" s="24">
        <v>445</v>
      </c>
      <c r="I67" s="24"/>
      <c r="J67" s="76">
        <f t="shared" si="1"/>
        <v>67</v>
      </c>
      <c r="K67" s="80">
        <v>200</v>
      </c>
      <c r="L67" s="76">
        <f t="shared" si="2"/>
        <v>267</v>
      </c>
      <c r="M67" s="84"/>
      <c r="N67" s="99">
        <v>53</v>
      </c>
      <c r="O67" s="50">
        <f t="shared" si="3"/>
        <v>14151</v>
      </c>
      <c r="P67" s="50">
        <f t="shared" si="4"/>
        <v>3551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468</v>
      </c>
      <c r="E70" s="24"/>
      <c r="F70" s="24"/>
      <c r="G70" s="16">
        <f t="shared" si="0"/>
        <v>468</v>
      </c>
      <c r="H70" s="24">
        <v>1</v>
      </c>
      <c r="I70" s="24"/>
      <c r="J70" s="76">
        <f t="shared" si="1"/>
        <v>467</v>
      </c>
      <c r="K70" s="80">
        <v>-153</v>
      </c>
      <c r="L70" s="76">
        <f t="shared" si="2"/>
        <v>314</v>
      </c>
      <c r="M70" s="86"/>
      <c r="N70" s="99">
        <v>260</v>
      </c>
      <c r="O70" s="50">
        <f t="shared" si="3"/>
        <v>81640</v>
      </c>
      <c r="P70" s="50">
        <f t="shared" si="4"/>
        <v>121420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4358</v>
      </c>
      <c r="E72" s="24"/>
      <c r="F72" s="24"/>
      <c r="G72" s="16">
        <f t="shared" si="0"/>
        <v>4358</v>
      </c>
      <c r="H72" s="24">
        <v>109</v>
      </c>
      <c r="I72" s="24"/>
      <c r="J72" s="76">
        <f t="shared" si="5"/>
        <v>4249</v>
      </c>
      <c r="K72" s="80">
        <v>-200</v>
      </c>
      <c r="L72" s="76">
        <f t="shared" si="2"/>
        <v>4049</v>
      </c>
      <c r="M72" s="30"/>
      <c r="N72" s="99">
        <v>39</v>
      </c>
      <c r="O72" s="50">
        <f t="shared" si="6"/>
        <v>157911</v>
      </c>
      <c r="P72" s="50">
        <f t="shared" si="7"/>
        <v>165711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19559</v>
      </c>
      <c r="E73" s="24"/>
      <c r="F73" s="24"/>
      <c r="G73" s="16">
        <f t="shared" si="0"/>
        <v>19559</v>
      </c>
      <c r="H73" s="24">
        <v>82</v>
      </c>
      <c r="I73" s="42"/>
      <c r="J73" s="76">
        <f t="shared" si="5"/>
        <v>19477</v>
      </c>
      <c r="K73" s="80">
        <v>0</v>
      </c>
      <c r="L73" s="76">
        <f t="shared" si="2"/>
        <v>19477</v>
      </c>
      <c r="M73" s="84"/>
      <c r="N73" s="99">
        <v>83</v>
      </c>
      <c r="O73" s="50">
        <f t="shared" si="6"/>
        <v>1616591</v>
      </c>
      <c r="P73" s="50">
        <f t="shared" si="7"/>
        <v>1616591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1576</v>
      </c>
      <c r="E75" s="24">
        <v>2000</v>
      </c>
      <c r="F75" s="24"/>
      <c r="G75" s="16">
        <f t="shared" si="0"/>
        <v>3576</v>
      </c>
      <c r="H75" s="24">
        <v>214</v>
      </c>
      <c r="I75" s="24"/>
      <c r="J75" s="76">
        <f t="shared" si="5"/>
        <v>3362</v>
      </c>
      <c r="K75" s="80">
        <v>273</v>
      </c>
      <c r="L75" s="76">
        <f t="shared" si="2"/>
        <v>3635</v>
      </c>
      <c r="M75" s="86"/>
      <c r="N75" s="99">
        <v>16</v>
      </c>
      <c r="O75" s="50">
        <f t="shared" si="6"/>
        <v>58160</v>
      </c>
      <c r="P75" s="50">
        <f t="shared" si="7"/>
        <v>53792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473</v>
      </c>
      <c r="E76" s="24"/>
      <c r="F76" s="24"/>
      <c r="G76" s="16">
        <f t="shared" si="0"/>
        <v>473</v>
      </c>
      <c r="H76" s="24">
        <v>5</v>
      </c>
      <c r="I76" s="24"/>
      <c r="J76" s="76">
        <f t="shared" si="5"/>
        <v>468</v>
      </c>
      <c r="K76" s="80">
        <v>-250</v>
      </c>
      <c r="L76" s="76">
        <f t="shared" si="2"/>
        <v>218</v>
      </c>
      <c r="M76" s="30"/>
      <c r="N76" s="99">
        <v>400</v>
      </c>
      <c r="O76" s="50">
        <f t="shared" si="6"/>
        <v>87200</v>
      </c>
      <c r="P76" s="50">
        <f t="shared" si="7"/>
        <v>187200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207</v>
      </c>
      <c r="E78" s="24"/>
      <c r="F78" s="24"/>
      <c r="G78" s="16">
        <f t="shared" si="0"/>
        <v>207</v>
      </c>
      <c r="H78" s="24">
        <v>7</v>
      </c>
      <c r="I78" s="24"/>
      <c r="J78" s="76">
        <f t="shared" si="5"/>
        <v>200</v>
      </c>
      <c r="K78" s="80">
        <v>100</v>
      </c>
      <c r="L78" s="76">
        <f t="shared" si="2"/>
        <v>300</v>
      </c>
      <c r="M78" s="86"/>
      <c r="N78" s="99">
        <v>900</v>
      </c>
      <c r="O78" s="50">
        <f t="shared" si="6"/>
        <v>270000</v>
      </c>
      <c r="P78" s="50">
        <f t="shared" si="7"/>
        <v>180000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6285</v>
      </c>
      <c r="E83" s="98"/>
      <c r="F83" s="24"/>
      <c r="G83" s="16">
        <f t="shared" si="8"/>
        <v>6285</v>
      </c>
      <c r="H83" s="24"/>
      <c r="I83" s="95"/>
      <c r="J83" s="76">
        <f t="shared" si="5"/>
        <v>6285</v>
      </c>
      <c r="K83" s="81">
        <v>0</v>
      </c>
      <c r="L83" s="76">
        <f t="shared" si="2"/>
        <v>6285</v>
      </c>
      <c r="M83" s="85"/>
      <c r="N83" s="100">
        <v>64</v>
      </c>
      <c r="O83" s="50">
        <f t="shared" si="6"/>
        <v>402240</v>
      </c>
      <c r="P83" s="50">
        <f t="shared" si="7"/>
        <v>402240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23</v>
      </c>
      <c r="E84" s="89"/>
      <c r="F84" s="12"/>
      <c r="G84" s="45">
        <f t="shared" si="8"/>
        <v>23</v>
      </c>
      <c r="H84" s="12"/>
      <c r="I84" s="94"/>
      <c r="J84" s="82">
        <f t="shared" ref="J84:J97" si="9">D84+E84-H84-I84</f>
        <v>23</v>
      </c>
      <c r="K84" s="96">
        <v>0</v>
      </c>
      <c r="L84" s="82">
        <f t="shared" si="2"/>
        <v>23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-8</v>
      </c>
      <c r="E85" s="90"/>
      <c r="F85" s="11"/>
      <c r="G85" s="16">
        <f t="shared" si="8"/>
        <v>-8</v>
      </c>
      <c r="H85" s="88">
        <v>2</v>
      </c>
      <c r="I85" s="11"/>
      <c r="J85" s="76">
        <f t="shared" si="9"/>
        <v>-10</v>
      </c>
      <c r="K85" s="97">
        <v>500</v>
      </c>
      <c r="L85" s="76">
        <f t="shared" si="2"/>
        <v>490</v>
      </c>
      <c r="M85" s="86"/>
      <c r="N85" s="99">
        <v>350</v>
      </c>
      <c r="O85" s="50">
        <f t="shared" si="6"/>
        <v>171500</v>
      </c>
      <c r="P85" s="50">
        <f t="shared" si="7"/>
        <v>-3500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339</v>
      </c>
      <c r="E86" s="90"/>
      <c r="F86" s="11"/>
      <c r="G86" s="16">
        <f t="shared" si="8"/>
        <v>339</v>
      </c>
      <c r="H86" s="88">
        <v>11</v>
      </c>
      <c r="I86" s="11"/>
      <c r="J86" s="76">
        <f t="shared" si="9"/>
        <v>328</v>
      </c>
      <c r="K86" s="97">
        <v>300</v>
      </c>
      <c r="L86" s="76">
        <f t="shared" si="2"/>
        <v>628</v>
      </c>
      <c r="M86" s="84"/>
      <c r="N86" s="99">
        <v>165</v>
      </c>
      <c r="O86" s="50">
        <f t="shared" si="6"/>
        <v>103620</v>
      </c>
      <c r="P86" s="50">
        <f t="shared" si="7"/>
        <v>54120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291</v>
      </c>
      <c r="E87" s="11"/>
      <c r="F87" s="11"/>
      <c r="G87" s="16">
        <f t="shared" si="8"/>
        <v>291</v>
      </c>
      <c r="H87" s="88">
        <v>7</v>
      </c>
      <c r="I87" s="11"/>
      <c r="J87" s="76">
        <f t="shared" si="9"/>
        <v>284</v>
      </c>
      <c r="K87" s="97">
        <v>-1</v>
      </c>
      <c r="L87" s="76">
        <f t="shared" si="2"/>
        <v>283</v>
      </c>
      <c r="M87" s="86"/>
      <c r="N87" s="99">
        <v>630</v>
      </c>
      <c r="O87" s="50">
        <f t="shared" si="6"/>
        <v>178290</v>
      </c>
      <c r="P87" s="50">
        <f t="shared" si="7"/>
        <v>178920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62</v>
      </c>
      <c r="E88" s="11"/>
      <c r="F88" s="11"/>
      <c r="G88" s="16">
        <f t="shared" si="8"/>
        <v>62</v>
      </c>
      <c r="H88" s="88">
        <v>1</v>
      </c>
      <c r="I88" s="11"/>
      <c r="J88" s="76">
        <f t="shared" si="9"/>
        <v>61</v>
      </c>
      <c r="K88" s="97">
        <v>8</v>
      </c>
      <c r="L88" s="76">
        <f t="shared" ref="L88:L97" si="10">J88+K88</f>
        <v>69</v>
      </c>
      <c r="M88" s="86"/>
      <c r="N88" s="99">
        <v>285</v>
      </c>
      <c r="O88" s="50">
        <f t="shared" si="6"/>
        <v>19665</v>
      </c>
      <c r="P88" s="50">
        <f t="shared" si="7"/>
        <v>17385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563</v>
      </c>
      <c r="E92" s="88"/>
      <c r="F92" s="11"/>
      <c r="G92" s="16">
        <f t="shared" si="8"/>
        <v>563</v>
      </c>
      <c r="H92" s="88"/>
      <c r="I92" s="11"/>
      <c r="J92" s="83">
        <f t="shared" si="9"/>
        <v>563</v>
      </c>
      <c r="K92" s="97">
        <v>0</v>
      </c>
      <c r="L92" s="76">
        <f t="shared" si="10"/>
        <v>563</v>
      </c>
      <c r="M92" s="86"/>
      <c r="N92" s="99">
        <v>113</v>
      </c>
      <c r="O92" s="50">
        <f t="shared" si="6"/>
        <v>63619</v>
      </c>
      <c r="P92" s="50">
        <f t="shared" si="7"/>
        <v>63619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343</v>
      </c>
      <c r="E94" s="88"/>
      <c r="F94" s="11"/>
      <c r="G94" s="16">
        <f t="shared" si="8"/>
        <v>343</v>
      </c>
      <c r="H94" s="88"/>
      <c r="I94" s="11"/>
      <c r="J94" s="83">
        <f t="shared" si="9"/>
        <v>343</v>
      </c>
      <c r="K94" s="97">
        <v>-50</v>
      </c>
      <c r="L94" s="76">
        <f t="shared" si="10"/>
        <v>293</v>
      </c>
      <c r="M94" s="86"/>
      <c r="N94" s="99">
        <v>950</v>
      </c>
      <c r="O94" s="50">
        <f t="shared" si="6"/>
        <v>278350</v>
      </c>
      <c r="P94" s="50">
        <f t="shared" si="7"/>
        <v>325850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1276678.2549999999</v>
      </c>
      <c r="E98" s="27">
        <f t="shared" ref="E98:L98" si="11">SUM(E6:E97)</f>
        <v>31110</v>
      </c>
      <c r="F98" s="27">
        <f t="shared" si="11"/>
        <v>0</v>
      </c>
      <c r="G98" s="27">
        <f t="shared" si="11"/>
        <v>1307788.2549999999</v>
      </c>
      <c r="H98" s="27">
        <f t="shared" si="11"/>
        <v>70755</v>
      </c>
      <c r="I98" s="27">
        <f t="shared" si="11"/>
        <v>0</v>
      </c>
      <c r="J98" s="27">
        <f t="shared" si="11"/>
        <v>1237033.2549999999</v>
      </c>
      <c r="K98" s="27">
        <f t="shared" si="11"/>
        <v>-578799</v>
      </c>
      <c r="L98" s="27">
        <f t="shared" si="11"/>
        <v>658234.25499999989</v>
      </c>
      <c r="M98" s="27">
        <f>SUM(M6:M96)</f>
        <v>0</v>
      </c>
      <c r="N98" s="51"/>
      <c r="O98" s="51">
        <f t="shared" ref="O98" si="12">SUM(O6:O97)</f>
        <v>28998668.670000006</v>
      </c>
      <c r="P98" s="51">
        <f>SUM(P6:P97)</f>
        <v>41439039.370000005</v>
      </c>
      <c r="Q98" s="57">
        <f>O98-P98</f>
        <v>-12440370.699999999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07" t="s">
        <v>115</v>
      </c>
      <c r="M100" s="107"/>
      <c r="O100" s="55" t="s">
        <v>110</v>
      </c>
      <c r="P100" s="54">
        <v>79909923</v>
      </c>
    </row>
    <row r="101" spans="1:22">
      <c r="P101" s="54">
        <f>P100-P98</f>
        <v>38470883.629999995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6" activePane="bottomLeft" state="frozen"/>
      <selection pane="bottomLeft" activeCell="Q24" sqref="Q24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141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-8687</v>
      </c>
      <c r="E6" s="15">
        <v>32240</v>
      </c>
      <c r="F6" s="16">
        <v>287</v>
      </c>
      <c r="G6" s="15">
        <f>D6+E6-F6</f>
        <v>23266</v>
      </c>
      <c r="H6" s="15">
        <v>35767</v>
      </c>
      <c r="I6" s="16"/>
      <c r="J6" s="15">
        <f>G6-H6-I6</f>
        <v>-12501</v>
      </c>
      <c r="K6" s="15">
        <v>8000</v>
      </c>
      <c r="L6" s="15">
        <f>J6+K6</f>
        <v>-4501</v>
      </c>
      <c r="M6" s="30" t="s">
        <v>75</v>
      </c>
      <c r="N6" s="99">
        <v>21.5</v>
      </c>
      <c r="O6" s="50">
        <f>L6*N6</f>
        <v>-96771.5</v>
      </c>
      <c r="P6" s="50">
        <f>J6*N6</f>
        <v>-268771.5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85053</v>
      </c>
      <c r="E7" s="15">
        <v>14990</v>
      </c>
      <c r="F7" s="15">
        <v>39</v>
      </c>
      <c r="G7" s="15">
        <f t="shared" ref="G7:G80" si="0">D7+E7-F7</f>
        <v>100004</v>
      </c>
      <c r="H7" s="15">
        <v>17247</v>
      </c>
      <c r="I7" s="15"/>
      <c r="J7" s="15">
        <f t="shared" ref="J7:J70" si="1">G7-H7-I7</f>
        <v>82757</v>
      </c>
      <c r="K7" s="15">
        <v>-5000</v>
      </c>
      <c r="L7" s="15">
        <f t="shared" ref="L7:L87" si="2">J7+K7</f>
        <v>77757</v>
      </c>
      <c r="M7" s="30" t="s">
        <v>75</v>
      </c>
      <c r="N7" s="99">
        <v>38</v>
      </c>
      <c r="O7" s="50">
        <f t="shared" ref="O7:O70" si="3">L7*N7</f>
        <v>2954766</v>
      </c>
      <c r="P7" s="50">
        <f t="shared" ref="P7:P70" si="4">J7*N7</f>
        <v>3144766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12370</v>
      </c>
      <c r="E8" s="15"/>
      <c r="F8" s="15"/>
      <c r="G8" s="15">
        <f t="shared" si="0"/>
        <v>12370</v>
      </c>
      <c r="H8" s="15">
        <v>3129</v>
      </c>
      <c r="I8" s="15"/>
      <c r="J8" s="15">
        <f t="shared" si="1"/>
        <v>9241</v>
      </c>
      <c r="K8" s="15">
        <v>0</v>
      </c>
      <c r="L8" s="15">
        <f t="shared" si="2"/>
        <v>9241</v>
      </c>
      <c r="M8" s="30" t="s">
        <v>75</v>
      </c>
      <c r="N8" s="99">
        <v>12</v>
      </c>
      <c r="O8" s="50">
        <f t="shared" si="3"/>
        <v>110892</v>
      </c>
      <c r="P8" s="50">
        <f t="shared" si="4"/>
        <v>110892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668992</v>
      </c>
      <c r="E10" s="15"/>
      <c r="F10" s="15"/>
      <c r="G10" s="15">
        <f t="shared" si="0"/>
        <v>668992</v>
      </c>
      <c r="H10" s="15">
        <v>1731</v>
      </c>
      <c r="I10" s="15"/>
      <c r="J10" s="15">
        <f t="shared" si="1"/>
        <v>667261</v>
      </c>
      <c r="K10" s="15">
        <v>-607000</v>
      </c>
      <c r="L10" s="15">
        <f t="shared" si="2"/>
        <v>60261</v>
      </c>
      <c r="M10" s="30"/>
      <c r="N10" s="99">
        <v>23.09</v>
      </c>
      <c r="O10" s="50">
        <f t="shared" si="3"/>
        <v>1391426.49</v>
      </c>
      <c r="P10" s="50">
        <f t="shared" si="4"/>
        <v>15407056.49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-5097</v>
      </c>
      <c r="E11" s="15">
        <v>14700</v>
      </c>
      <c r="F11" s="15">
        <v>39</v>
      </c>
      <c r="G11" s="15">
        <f t="shared" si="0"/>
        <v>9564</v>
      </c>
      <c r="H11" s="15">
        <v>1883</v>
      </c>
      <c r="I11" s="15"/>
      <c r="J11" s="15">
        <f t="shared" si="1"/>
        <v>7681</v>
      </c>
      <c r="K11" s="15">
        <v>2000</v>
      </c>
      <c r="L11" s="15">
        <f t="shared" si="2"/>
        <v>9681</v>
      </c>
      <c r="M11" s="30" t="s">
        <v>75</v>
      </c>
      <c r="N11" s="99">
        <v>16.5</v>
      </c>
      <c r="O11" s="50">
        <f t="shared" si="3"/>
        <v>159736.5</v>
      </c>
      <c r="P11" s="50">
        <f t="shared" si="4"/>
        <v>126736.5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-937</v>
      </c>
      <c r="E13" s="15"/>
      <c r="F13" s="15"/>
      <c r="G13" s="15">
        <f t="shared" si="0"/>
        <v>-937</v>
      </c>
      <c r="H13" s="15">
        <v>1523</v>
      </c>
      <c r="I13" s="15"/>
      <c r="J13" s="15">
        <f t="shared" si="1"/>
        <v>-2460</v>
      </c>
      <c r="K13" s="15">
        <v>5000</v>
      </c>
      <c r="L13" s="15">
        <f t="shared" si="2"/>
        <v>2540</v>
      </c>
      <c r="M13" s="30" t="s">
        <v>75</v>
      </c>
      <c r="N13" s="99">
        <v>27.5</v>
      </c>
      <c r="O13" s="50">
        <f t="shared" si="3"/>
        <v>69850</v>
      </c>
      <c r="P13" s="50">
        <f t="shared" si="4"/>
        <v>-67650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15479</v>
      </c>
      <c r="E14" s="15"/>
      <c r="F14" s="15"/>
      <c r="G14" s="15">
        <f t="shared" si="0"/>
        <v>15479</v>
      </c>
      <c r="H14" s="15">
        <v>292</v>
      </c>
      <c r="I14" s="16"/>
      <c r="J14" s="15">
        <f t="shared" si="1"/>
        <v>15187</v>
      </c>
      <c r="K14" s="15">
        <v>-1000</v>
      </c>
      <c r="L14" s="15">
        <f t="shared" si="2"/>
        <v>14187</v>
      </c>
      <c r="M14" s="30"/>
      <c r="N14" s="99">
        <v>59</v>
      </c>
      <c r="O14" s="50">
        <f t="shared" si="3"/>
        <v>837033</v>
      </c>
      <c r="P14" s="50">
        <f t="shared" si="4"/>
        <v>896033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31729</v>
      </c>
      <c r="E16" s="29"/>
      <c r="F16" s="15"/>
      <c r="G16" s="15">
        <f t="shared" si="0"/>
        <v>31729</v>
      </c>
      <c r="H16" s="15">
        <v>2207</v>
      </c>
      <c r="I16" s="16"/>
      <c r="J16" s="15">
        <f t="shared" si="1"/>
        <v>29522</v>
      </c>
      <c r="K16" s="15">
        <v>0</v>
      </c>
      <c r="L16" s="15">
        <f>J16+K16</f>
        <v>29522</v>
      </c>
      <c r="M16" s="30"/>
      <c r="N16" s="99">
        <v>43.25</v>
      </c>
      <c r="O16" s="50">
        <f t="shared" si="3"/>
        <v>1276826.5</v>
      </c>
      <c r="P16" s="50">
        <f t="shared" si="4"/>
        <v>1276826.5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15426</v>
      </c>
      <c r="E19" s="15"/>
      <c r="F19" s="15"/>
      <c r="G19" s="15">
        <f t="shared" si="0"/>
        <v>15426</v>
      </c>
      <c r="H19" s="15">
        <v>493</v>
      </c>
      <c r="I19" s="16"/>
      <c r="J19" s="15">
        <f t="shared" si="1"/>
        <v>14933</v>
      </c>
      <c r="K19" s="15">
        <v>1000</v>
      </c>
      <c r="L19" s="15">
        <f t="shared" si="2"/>
        <v>15933</v>
      </c>
      <c r="M19" s="30"/>
      <c r="N19" s="99">
        <v>22.8</v>
      </c>
      <c r="O19" s="50">
        <f t="shared" si="3"/>
        <v>363272.4</v>
      </c>
      <c r="P19" s="50">
        <f t="shared" si="4"/>
        <v>340472.4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8120</v>
      </c>
      <c r="E20" s="15"/>
      <c r="F20" s="15"/>
      <c r="G20" s="15">
        <f t="shared" si="0"/>
        <v>8120</v>
      </c>
      <c r="H20" s="15">
        <v>492</v>
      </c>
      <c r="I20" s="16"/>
      <c r="J20" s="15">
        <f t="shared" si="1"/>
        <v>7628</v>
      </c>
      <c r="K20" s="15">
        <v>0</v>
      </c>
      <c r="L20" s="15">
        <f t="shared" si="2"/>
        <v>7628</v>
      </c>
      <c r="M20" s="30" t="s">
        <v>75</v>
      </c>
      <c r="N20" s="99">
        <v>20</v>
      </c>
      <c r="O20" s="50">
        <f t="shared" si="3"/>
        <v>152560</v>
      </c>
      <c r="P20" s="50">
        <f t="shared" si="4"/>
        <v>152560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7615</v>
      </c>
      <c r="E21" s="15"/>
      <c r="F21" s="15"/>
      <c r="G21" s="15">
        <f t="shared" si="0"/>
        <v>7615</v>
      </c>
      <c r="H21" s="15">
        <v>316</v>
      </c>
      <c r="I21" s="16"/>
      <c r="J21" s="15">
        <f t="shared" si="1"/>
        <v>7299</v>
      </c>
      <c r="K21" s="15">
        <v>0</v>
      </c>
      <c r="L21" s="15">
        <f t="shared" si="2"/>
        <v>7299</v>
      </c>
      <c r="M21" s="30"/>
      <c r="N21" s="99">
        <v>8.5</v>
      </c>
      <c r="O21" s="50">
        <f t="shared" si="3"/>
        <v>62041.5</v>
      </c>
      <c r="P21" s="50">
        <f t="shared" si="4"/>
        <v>62041.5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251777</v>
      </c>
      <c r="E22" s="15"/>
      <c r="F22" s="15"/>
      <c r="G22" s="15">
        <f t="shared" si="0"/>
        <v>251777</v>
      </c>
      <c r="H22" s="15">
        <v>2497</v>
      </c>
      <c r="I22" s="16"/>
      <c r="J22" s="15">
        <f t="shared" si="1"/>
        <v>249280</v>
      </c>
      <c r="K22" s="15">
        <v>8000</v>
      </c>
      <c r="L22" s="15">
        <f t="shared" si="2"/>
        <v>257280</v>
      </c>
      <c r="M22" s="30"/>
      <c r="N22" s="99">
        <v>8.5</v>
      </c>
      <c r="O22" s="50">
        <f t="shared" si="3"/>
        <v>2186880</v>
      </c>
      <c r="P22" s="50">
        <f t="shared" si="4"/>
        <v>2118880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3510</v>
      </c>
      <c r="E23" s="15"/>
      <c r="F23" s="15"/>
      <c r="G23" s="15">
        <f t="shared" si="0"/>
        <v>3510</v>
      </c>
      <c r="H23" s="15">
        <v>1801</v>
      </c>
      <c r="I23" s="16"/>
      <c r="J23" s="15">
        <f t="shared" si="1"/>
        <v>1709</v>
      </c>
      <c r="K23" s="15">
        <v>1500</v>
      </c>
      <c r="L23" s="15">
        <f t="shared" si="2"/>
        <v>3209</v>
      </c>
      <c r="M23" s="30" t="s">
        <v>75</v>
      </c>
      <c r="N23" s="99">
        <v>82</v>
      </c>
      <c r="O23" s="50">
        <f t="shared" si="3"/>
        <v>263138</v>
      </c>
      <c r="P23" s="50">
        <f t="shared" si="4"/>
        <v>140138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17311</v>
      </c>
      <c r="E24" s="29"/>
      <c r="F24" s="29"/>
      <c r="G24" s="15">
        <f t="shared" si="0"/>
        <v>17311</v>
      </c>
      <c r="H24" s="15">
        <v>1117</v>
      </c>
      <c r="I24" s="16"/>
      <c r="J24" s="15">
        <f t="shared" si="1"/>
        <v>16194</v>
      </c>
      <c r="K24" s="15">
        <v>2713</v>
      </c>
      <c r="L24" s="15">
        <f t="shared" si="2"/>
        <v>18907</v>
      </c>
      <c r="M24" s="30"/>
      <c r="N24" s="99">
        <v>22.1</v>
      </c>
      <c r="O24" s="50">
        <f t="shared" si="3"/>
        <v>417844.7</v>
      </c>
      <c r="P24" s="50">
        <f t="shared" si="4"/>
        <v>357887.4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8980</v>
      </c>
      <c r="E26" s="15"/>
      <c r="F26" s="15"/>
      <c r="G26" s="15">
        <f t="shared" si="0"/>
        <v>8980</v>
      </c>
      <c r="H26" s="15">
        <v>1459</v>
      </c>
      <c r="I26" s="16"/>
      <c r="J26" s="76">
        <f t="shared" si="1"/>
        <v>7521</v>
      </c>
      <c r="K26" s="76">
        <v>0</v>
      </c>
      <c r="L26" s="76">
        <f t="shared" si="2"/>
        <v>7521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0</v>
      </c>
      <c r="E32" s="15">
        <v>29360</v>
      </c>
      <c r="F32" s="15"/>
      <c r="G32" s="15">
        <f t="shared" si="0"/>
        <v>29360</v>
      </c>
      <c r="H32" s="15"/>
      <c r="I32" s="16"/>
      <c r="J32" s="76">
        <f t="shared" si="1"/>
        <v>29360</v>
      </c>
      <c r="K32" s="76"/>
      <c r="L32" s="76">
        <f t="shared" si="2"/>
        <v>29360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16529</v>
      </c>
      <c r="E33" s="15"/>
      <c r="F33" s="15"/>
      <c r="G33" s="15">
        <f t="shared" si="0"/>
        <v>16529</v>
      </c>
      <c r="H33" s="15">
        <v>230</v>
      </c>
      <c r="I33" s="16"/>
      <c r="J33" s="76">
        <f t="shared" si="1"/>
        <v>16299</v>
      </c>
      <c r="K33" s="76">
        <v>206</v>
      </c>
      <c r="L33" s="76">
        <f t="shared" si="2"/>
        <v>16505</v>
      </c>
      <c r="M33" s="30"/>
      <c r="N33" s="99">
        <v>12.49</v>
      </c>
      <c r="O33" s="50">
        <f t="shared" si="3"/>
        <v>206147.45</v>
      </c>
      <c r="P33" s="50">
        <f t="shared" si="4"/>
        <v>203574.51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243</v>
      </c>
      <c r="E34" s="15"/>
      <c r="F34" s="15"/>
      <c r="G34" s="15">
        <f t="shared" si="0"/>
        <v>243</v>
      </c>
      <c r="H34" s="15">
        <v>15</v>
      </c>
      <c r="I34" s="16"/>
      <c r="J34" s="76">
        <f t="shared" si="1"/>
        <v>228</v>
      </c>
      <c r="K34" s="76">
        <v>-50</v>
      </c>
      <c r="L34" s="76">
        <f t="shared" si="2"/>
        <v>178</v>
      </c>
      <c r="M34" s="77"/>
      <c r="N34" s="99">
        <v>435</v>
      </c>
      <c r="O34" s="50">
        <f t="shared" si="3"/>
        <v>77430</v>
      </c>
      <c r="P34" s="50">
        <f t="shared" si="4"/>
        <v>99180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186</v>
      </c>
      <c r="E35" s="15"/>
      <c r="F35" s="15"/>
      <c r="G35" s="15">
        <f t="shared" si="0"/>
        <v>186</v>
      </c>
      <c r="H35" s="15">
        <v>10</v>
      </c>
      <c r="I35" s="16"/>
      <c r="J35" s="76">
        <f>G35-H35-I35</f>
        <v>176</v>
      </c>
      <c r="K35" s="76">
        <v>-50</v>
      </c>
      <c r="L35" s="76">
        <f t="shared" si="2"/>
        <v>126</v>
      </c>
      <c r="M35" s="84"/>
      <c r="N35" s="99">
        <v>730</v>
      </c>
      <c r="O35" s="50">
        <f t="shared" si="3"/>
        <v>91980</v>
      </c>
      <c r="P35" s="50">
        <f t="shared" si="4"/>
        <v>128480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372</v>
      </c>
      <c r="E36" s="15"/>
      <c r="F36" s="15"/>
      <c r="G36" s="15">
        <f t="shared" si="0"/>
        <v>372</v>
      </c>
      <c r="H36" s="16">
        <v>5</v>
      </c>
      <c r="I36" s="16"/>
      <c r="J36" s="76">
        <f t="shared" si="1"/>
        <v>367</v>
      </c>
      <c r="K36" s="76">
        <v>-125</v>
      </c>
      <c r="L36" s="76">
        <f t="shared" si="2"/>
        <v>242</v>
      </c>
      <c r="M36" s="84"/>
      <c r="N36" s="99">
        <v>155</v>
      </c>
      <c r="O36" s="50">
        <f t="shared" si="3"/>
        <v>37510</v>
      </c>
      <c r="P36" s="50">
        <f t="shared" si="4"/>
        <v>56885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1369</v>
      </c>
      <c r="E37" s="15"/>
      <c r="F37" s="15"/>
      <c r="G37" s="15">
        <f t="shared" si="0"/>
        <v>1369</v>
      </c>
      <c r="H37" s="16"/>
      <c r="I37" s="16"/>
      <c r="J37" s="76">
        <f t="shared" si="1"/>
        <v>1369</v>
      </c>
      <c r="K37" s="76">
        <v>0</v>
      </c>
      <c r="L37" s="76">
        <f t="shared" si="2"/>
        <v>1369</v>
      </c>
      <c r="M37" s="84"/>
      <c r="N37" s="99">
        <v>125</v>
      </c>
      <c r="O37" s="50">
        <f t="shared" si="3"/>
        <v>171125</v>
      </c>
      <c r="P37" s="50">
        <f t="shared" si="4"/>
        <v>171125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239</v>
      </c>
      <c r="E39" s="15"/>
      <c r="F39" s="15"/>
      <c r="G39" s="15">
        <f t="shared" si="0"/>
        <v>239</v>
      </c>
      <c r="H39" s="16">
        <v>15</v>
      </c>
      <c r="I39" s="16"/>
      <c r="J39" s="76">
        <f t="shared" si="1"/>
        <v>224</v>
      </c>
      <c r="K39" s="76">
        <v>-70</v>
      </c>
      <c r="L39" s="76">
        <f t="shared" si="2"/>
        <v>154</v>
      </c>
      <c r="M39" s="84"/>
      <c r="N39" s="99">
        <v>975</v>
      </c>
      <c r="O39" s="50">
        <f t="shared" si="3"/>
        <v>150150</v>
      </c>
      <c r="P39" s="50">
        <f t="shared" si="4"/>
        <v>218400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290</v>
      </c>
      <c r="E41" s="15"/>
      <c r="F41" s="15"/>
      <c r="G41" s="15">
        <f t="shared" si="0"/>
        <v>290</v>
      </c>
      <c r="H41" s="16">
        <v>16</v>
      </c>
      <c r="I41" s="16"/>
      <c r="J41" s="76">
        <f t="shared" si="1"/>
        <v>274</v>
      </c>
      <c r="K41" s="76">
        <v>500</v>
      </c>
      <c r="L41" s="76">
        <f t="shared" si="2"/>
        <v>774</v>
      </c>
      <c r="M41" s="84"/>
      <c r="N41" s="99">
        <v>125</v>
      </c>
      <c r="O41" s="50">
        <f t="shared" si="3"/>
        <v>96750</v>
      </c>
      <c r="P41" s="50">
        <f t="shared" si="4"/>
        <v>34250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10738</v>
      </c>
      <c r="E44" s="15"/>
      <c r="F44" s="15"/>
      <c r="G44" s="15">
        <f t="shared" si="0"/>
        <v>10738</v>
      </c>
      <c r="H44" s="16">
        <v>24</v>
      </c>
      <c r="I44" s="16"/>
      <c r="J44" s="76">
        <f t="shared" si="1"/>
        <v>10714</v>
      </c>
      <c r="K44" s="76">
        <v>2200</v>
      </c>
      <c r="L44" s="76">
        <f t="shared" si="2"/>
        <v>12914</v>
      </c>
      <c r="M44" s="84"/>
      <c r="N44" s="99">
        <v>80</v>
      </c>
      <c r="O44" s="50">
        <f t="shared" si="3"/>
        <v>1033120</v>
      </c>
      <c r="P44" s="50">
        <f t="shared" si="4"/>
        <v>857120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16909</v>
      </c>
      <c r="E46" s="15"/>
      <c r="F46" s="15"/>
      <c r="G46" s="15">
        <f t="shared" si="0"/>
        <v>16909</v>
      </c>
      <c r="H46" s="16">
        <v>171</v>
      </c>
      <c r="I46" s="16"/>
      <c r="J46" s="76">
        <f t="shared" si="1"/>
        <v>16738</v>
      </c>
      <c r="K46" s="76">
        <v>-180</v>
      </c>
      <c r="L46" s="76">
        <f t="shared" si="2"/>
        <v>16558</v>
      </c>
      <c r="M46" s="84"/>
      <c r="N46" s="99">
        <v>275</v>
      </c>
      <c r="O46" s="50">
        <f t="shared" si="3"/>
        <v>4553450</v>
      </c>
      <c r="P46" s="50">
        <f t="shared" si="4"/>
        <v>4602950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151</v>
      </c>
      <c r="E49" s="15"/>
      <c r="F49" s="15"/>
      <c r="G49" s="15">
        <f t="shared" si="0"/>
        <v>151</v>
      </c>
      <c r="H49" s="15">
        <v>8</v>
      </c>
      <c r="I49" s="16"/>
      <c r="J49" s="76">
        <f t="shared" si="1"/>
        <v>143</v>
      </c>
      <c r="K49" s="76">
        <v>0</v>
      </c>
      <c r="L49" s="76">
        <f t="shared" si="2"/>
        <v>143</v>
      </c>
      <c r="M49" s="84"/>
      <c r="N49" s="99">
        <v>800</v>
      </c>
      <c r="O49" s="50">
        <f t="shared" si="3"/>
        <v>114400</v>
      </c>
      <c r="P49" s="50">
        <f t="shared" si="4"/>
        <v>114400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100</v>
      </c>
      <c r="E53" s="15"/>
      <c r="F53" s="15"/>
      <c r="G53" s="15">
        <f t="shared" si="0"/>
        <v>100</v>
      </c>
      <c r="H53" s="15">
        <v>4</v>
      </c>
      <c r="I53" s="20"/>
      <c r="J53" s="76">
        <f t="shared" si="1"/>
        <v>96</v>
      </c>
      <c r="K53" s="76">
        <v>0</v>
      </c>
      <c r="L53" s="76">
        <f t="shared" si="2"/>
        <v>96</v>
      </c>
      <c r="M53" s="84"/>
      <c r="N53" s="99">
        <v>1600</v>
      </c>
      <c r="O53" s="50">
        <f t="shared" si="3"/>
        <v>153600</v>
      </c>
      <c r="P53" s="50">
        <f t="shared" si="4"/>
        <v>153600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767</v>
      </c>
      <c r="E54" s="15"/>
      <c r="F54" s="15"/>
      <c r="G54" s="15">
        <f t="shared" si="0"/>
        <v>767</v>
      </c>
      <c r="H54" s="15">
        <v>9</v>
      </c>
      <c r="I54" s="16"/>
      <c r="J54" s="76">
        <f t="shared" si="1"/>
        <v>758</v>
      </c>
      <c r="K54" s="76">
        <v>-350</v>
      </c>
      <c r="L54" s="76">
        <f t="shared" si="2"/>
        <v>408</v>
      </c>
      <c r="M54" s="84"/>
      <c r="N54" s="99">
        <v>375</v>
      </c>
      <c r="O54" s="50">
        <f t="shared" si="3"/>
        <v>153000</v>
      </c>
      <c r="P54" s="50">
        <f t="shared" si="4"/>
        <v>284250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143</v>
      </c>
      <c r="E55" s="15"/>
      <c r="F55" s="15"/>
      <c r="G55" s="15">
        <f t="shared" si="0"/>
        <v>143</v>
      </c>
      <c r="H55" s="15"/>
      <c r="I55" s="21"/>
      <c r="J55" s="76">
        <f t="shared" si="1"/>
        <v>143</v>
      </c>
      <c r="K55" s="76">
        <v>9</v>
      </c>
      <c r="L55" s="76">
        <f t="shared" si="2"/>
        <v>152</v>
      </c>
      <c r="M55" s="30"/>
      <c r="N55" s="99">
        <v>425</v>
      </c>
      <c r="O55" s="50">
        <f t="shared" si="3"/>
        <v>64600</v>
      </c>
      <c r="P55" s="50">
        <f t="shared" si="4"/>
        <v>60775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239</v>
      </c>
      <c r="E56" s="15"/>
      <c r="F56" s="15"/>
      <c r="G56" s="15">
        <f t="shared" si="0"/>
        <v>239</v>
      </c>
      <c r="H56" s="15">
        <v>33</v>
      </c>
      <c r="I56" s="22"/>
      <c r="J56" s="76">
        <f t="shared" si="1"/>
        <v>206</v>
      </c>
      <c r="K56" s="76">
        <v>-200</v>
      </c>
      <c r="L56" s="76">
        <f t="shared" si="2"/>
        <v>6</v>
      </c>
      <c r="M56" s="84"/>
      <c r="N56" s="99">
        <v>390</v>
      </c>
      <c r="O56" s="50">
        <f t="shared" si="3"/>
        <v>2340</v>
      </c>
      <c r="P56" s="50">
        <f t="shared" si="4"/>
        <v>80340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90</v>
      </c>
      <c r="E58" s="15"/>
      <c r="F58" s="15"/>
      <c r="G58" s="15">
        <f t="shared" si="0"/>
        <v>90</v>
      </c>
      <c r="H58" s="15">
        <v>25</v>
      </c>
      <c r="I58" s="16"/>
      <c r="J58" s="76">
        <f t="shared" si="1"/>
        <v>65</v>
      </c>
      <c r="K58" s="76">
        <v>0</v>
      </c>
      <c r="L58" s="76">
        <f t="shared" si="2"/>
        <v>65</v>
      </c>
      <c r="M58" s="30"/>
      <c r="N58" s="99">
        <v>132</v>
      </c>
      <c r="O58" s="50">
        <f t="shared" si="3"/>
        <v>8580</v>
      </c>
      <c r="P58" s="50">
        <f t="shared" si="4"/>
        <v>8580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328</v>
      </c>
      <c r="E59" s="15"/>
      <c r="F59" s="15"/>
      <c r="G59" s="15">
        <f t="shared" si="0"/>
        <v>328</v>
      </c>
      <c r="H59" s="15">
        <v>17</v>
      </c>
      <c r="I59" s="16"/>
      <c r="J59" s="76">
        <f t="shared" si="1"/>
        <v>311</v>
      </c>
      <c r="K59" s="76">
        <v>0</v>
      </c>
      <c r="L59" s="76">
        <f t="shared" si="2"/>
        <v>311</v>
      </c>
      <c r="M59" s="84"/>
      <c r="N59" s="99">
        <v>570</v>
      </c>
      <c r="O59" s="50">
        <f t="shared" si="3"/>
        <v>177270</v>
      </c>
      <c r="P59" s="50">
        <f t="shared" si="4"/>
        <v>177270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16762</v>
      </c>
      <c r="E62" s="15"/>
      <c r="F62" s="15"/>
      <c r="G62" s="15">
        <f t="shared" si="0"/>
        <v>16762</v>
      </c>
      <c r="H62" s="15">
        <v>111</v>
      </c>
      <c r="I62" s="16"/>
      <c r="J62" s="76">
        <f t="shared" si="1"/>
        <v>16651</v>
      </c>
      <c r="K62" s="76">
        <v>187</v>
      </c>
      <c r="L62" s="76">
        <f t="shared" si="2"/>
        <v>16838</v>
      </c>
      <c r="M62" s="30"/>
      <c r="N62" s="99">
        <v>87.38</v>
      </c>
      <c r="O62" s="50">
        <f t="shared" si="3"/>
        <v>1471304.44</v>
      </c>
      <c r="P62" s="50">
        <f t="shared" si="4"/>
        <v>1454964.38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30</v>
      </c>
      <c r="E63" s="15"/>
      <c r="F63" s="15"/>
      <c r="G63" s="15">
        <f t="shared" si="0"/>
        <v>30</v>
      </c>
      <c r="H63" s="15">
        <v>5</v>
      </c>
      <c r="I63" s="16"/>
      <c r="J63" s="76">
        <f t="shared" si="1"/>
        <v>25</v>
      </c>
      <c r="K63" s="76">
        <v>300</v>
      </c>
      <c r="L63" s="76">
        <f t="shared" si="2"/>
        <v>325</v>
      </c>
      <c r="M63" s="84"/>
      <c r="N63" s="99">
        <v>290</v>
      </c>
      <c r="O63" s="50">
        <f t="shared" si="3"/>
        <v>94250</v>
      </c>
      <c r="P63" s="50">
        <f t="shared" si="4"/>
        <v>7250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-137</v>
      </c>
      <c r="E64" s="23">
        <v>500</v>
      </c>
      <c r="F64" s="23"/>
      <c r="G64" s="23">
        <f t="shared" si="0"/>
        <v>363</v>
      </c>
      <c r="H64" s="23">
        <v>19</v>
      </c>
      <c r="I64" s="23"/>
      <c r="J64" s="76">
        <f t="shared" si="1"/>
        <v>344</v>
      </c>
      <c r="K64" s="79">
        <v>100</v>
      </c>
      <c r="L64" s="76">
        <f t="shared" si="2"/>
        <v>444</v>
      </c>
      <c r="M64" s="30"/>
      <c r="N64" s="99">
        <v>70</v>
      </c>
      <c r="O64" s="50">
        <f t="shared" si="3"/>
        <v>31080</v>
      </c>
      <c r="P64" s="50">
        <f t="shared" si="4"/>
        <v>24080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698</v>
      </c>
      <c r="E65" s="24"/>
      <c r="F65" s="24"/>
      <c r="G65" s="16">
        <f t="shared" si="0"/>
        <v>698</v>
      </c>
      <c r="H65" s="24">
        <v>142</v>
      </c>
      <c r="I65" s="24"/>
      <c r="J65" s="76">
        <f t="shared" si="1"/>
        <v>556</v>
      </c>
      <c r="K65" s="80">
        <v>-550</v>
      </c>
      <c r="L65" s="76">
        <f t="shared" si="2"/>
        <v>6</v>
      </c>
      <c r="M65" s="86"/>
      <c r="N65" s="99">
        <v>240</v>
      </c>
      <c r="O65" s="50">
        <f t="shared" si="3"/>
        <v>1440</v>
      </c>
      <c r="P65" s="50">
        <f t="shared" si="4"/>
        <v>133440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384</v>
      </c>
      <c r="E66" s="24"/>
      <c r="F66" s="24"/>
      <c r="G66" s="16">
        <f t="shared" si="0"/>
        <v>384</v>
      </c>
      <c r="H66" s="24">
        <v>12</v>
      </c>
      <c r="I66" s="24"/>
      <c r="J66" s="76">
        <f t="shared" si="1"/>
        <v>372</v>
      </c>
      <c r="K66" s="81">
        <v>0</v>
      </c>
      <c r="L66" s="81">
        <f t="shared" si="2"/>
        <v>372</v>
      </c>
      <c r="M66" s="86"/>
      <c r="N66" s="99">
        <v>1100</v>
      </c>
      <c r="O66" s="50">
        <f t="shared" si="3"/>
        <v>409200</v>
      </c>
      <c r="P66" s="50">
        <f t="shared" si="4"/>
        <v>409200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500</v>
      </c>
      <c r="E67" s="24"/>
      <c r="F67" s="24"/>
      <c r="G67" s="16">
        <f t="shared" si="0"/>
        <v>500</v>
      </c>
      <c r="H67" s="24">
        <v>641</v>
      </c>
      <c r="I67" s="24"/>
      <c r="J67" s="76">
        <f t="shared" si="1"/>
        <v>-141</v>
      </c>
      <c r="K67" s="80">
        <v>1000</v>
      </c>
      <c r="L67" s="76">
        <f t="shared" si="2"/>
        <v>859</v>
      </c>
      <c r="M67" s="84"/>
      <c r="N67" s="99">
        <v>53</v>
      </c>
      <c r="O67" s="50">
        <f t="shared" si="3"/>
        <v>45527</v>
      </c>
      <c r="P67" s="50">
        <f t="shared" si="4"/>
        <v>-7473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467</v>
      </c>
      <c r="E70" s="24"/>
      <c r="F70" s="24"/>
      <c r="G70" s="16">
        <f t="shared" si="0"/>
        <v>467</v>
      </c>
      <c r="H70" s="24">
        <v>6</v>
      </c>
      <c r="I70" s="24"/>
      <c r="J70" s="76">
        <f t="shared" si="1"/>
        <v>461</v>
      </c>
      <c r="K70" s="80">
        <v>-153</v>
      </c>
      <c r="L70" s="76">
        <f t="shared" si="2"/>
        <v>308</v>
      </c>
      <c r="M70" s="86"/>
      <c r="N70" s="99">
        <v>260</v>
      </c>
      <c r="O70" s="50">
        <f t="shared" si="3"/>
        <v>80080</v>
      </c>
      <c r="P70" s="50">
        <f t="shared" si="4"/>
        <v>119860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4249</v>
      </c>
      <c r="E72" s="24"/>
      <c r="F72" s="24"/>
      <c r="G72" s="16">
        <f t="shared" si="0"/>
        <v>4249</v>
      </c>
      <c r="H72" s="24">
        <v>101</v>
      </c>
      <c r="I72" s="24"/>
      <c r="J72" s="76">
        <f t="shared" si="5"/>
        <v>4148</v>
      </c>
      <c r="K72" s="80">
        <v>-200</v>
      </c>
      <c r="L72" s="76">
        <f t="shared" si="2"/>
        <v>3948</v>
      </c>
      <c r="M72" s="30"/>
      <c r="N72" s="99">
        <v>39</v>
      </c>
      <c r="O72" s="50">
        <f t="shared" si="6"/>
        <v>153972</v>
      </c>
      <c r="P72" s="50">
        <f t="shared" si="7"/>
        <v>161772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19477</v>
      </c>
      <c r="E73" s="24"/>
      <c r="F73" s="24"/>
      <c r="G73" s="16">
        <f t="shared" si="0"/>
        <v>19477</v>
      </c>
      <c r="H73" s="24">
        <v>170</v>
      </c>
      <c r="I73" s="42"/>
      <c r="J73" s="76">
        <f t="shared" si="5"/>
        <v>19307</v>
      </c>
      <c r="K73" s="80">
        <v>0</v>
      </c>
      <c r="L73" s="76">
        <f t="shared" si="2"/>
        <v>19307</v>
      </c>
      <c r="M73" s="84"/>
      <c r="N73" s="99">
        <v>83</v>
      </c>
      <c r="O73" s="50">
        <f t="shared" si="6"/>
        <v>1602481</v>
      </c>
      <c r="P73" s="50">
        <f t="shared" si="7"/>
        <v>1602481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3362</v>
      </c>
      <c r="E75" s="24"/>
      <c r="F75" s="24"/>
      <c r="G75" s="16">
        <f t="shared" si="0"/>
        <v>3362</v>
      </c>
      <c r="H75" s="24">
        <v>75</v>
      </c>
      <c r="I75" s="24"/>
      <c r="J75" s="76">
        <f t="shared" si="5"/>
        <v>3287</v>
      </c>
      <c r="K75" s="80">
        <v>273</v>
      </c>
      <c r="L75" s="76">
        <f t="shared" si="2"/>
        <v>3560</v>
      </c>
      <c r="M75" s="86"/>
      <c r="N75" s="99">
        <v>16</v>
      </c>
      <c r="O75" s="50">
        <f t="shared" si="6"/>
        <v>56960</v>
      </c>
      <c r="P75" s="50">
        <f t="shared" si="7"/>
        <v>52592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468</v>
      </c>
      <c r="E76" s="24"/>
      <c r="F76" s="24"/>
      <c r="G76" s="16">
        <f t="shared" si="0"/>
        <v>468</v>
      </c>
      <c r="H76" s="24">
        <v>19</v>
      </c>
      <c r="I76" s="24"/>
      <c r="J76" s="76">
        <f t="shared" si="5"/>
        <v>449</v>
      </c>
      <c r="K76" s="80">
        <v>-250</v>
      </c>
      <c r="L76" s="76">
        <f t="shared" si="2"/>
        <v>199</v>
      </c>
      <c r="M76" s="30"/>
      <c r="N76" s="99">
        <v>400</v>
      </c>
      <c r="O76" s="50">
        <f t="shared" si="6"/>
        <v>79600</v>
      </c>
      <c r="P76" s="50">
        <f t="shared" si="7"/>
        <v>179600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200</v>
      </c>
      <c r="E78" s="24"/>
      <c r="F78" s="24"/>
      <c r="G78" s="16">
        <f t="shared" si="0"/>
        <v>200</v>
      </c>
      <c r="H78" s="24">
        <v>15</v>
      </c>
      <c r="I78" s="24"/>
      <c r="J78" s="76">
        <f t="shared" si="5"/>
        <v>185</v>
      </c>
      <c r="K78" s="80">
        <v>100</v>
      </c>
      <c r="L78" s="76">
        <f t="shared" si="2"/>
        <v>285</v>
      </c>
      <c r="M78" s="86"/>
      <c r="N78" s="99">
        <v>900</v>
      </c>
      <c r="O78" s="50">
        <f t="shared" si="6"/>
        <v>256500</v>
      </c>
      <c r="P78" s="50">
        <f t="shared" si="7"/>
        <v>166500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6285</v>
      </c>
      <c r="E83" s="98"/>
      <c r="F83" s="24"/>
      <c r="G83" s="16">
        <f t="shared" si="8"/>
        <v>6285</v>
      </c>
      <c r="H83" s="24"/>
      <c r="I83" s="95"/>
      <c r="J83" s="76">
        <f t="shared" si="5"/>
        <v>6285</v>
      </c>
      <c r="K83" s="81">
        <v>0</v>
      </c>
      <c r="L83" s="76">
        <f t="shared" si="2"/>
        <v>6285</v>
      </c>
      <c r="M83" s="85"/>
      <c r="N83" s="100">
        <v>64</v>
      </c>
      <c r="O83" s="50">
        <f t="shared" si="6"/>
        <v>402240</v>
      </c>
      <c r="P83" s="50">
        <f t="shared" si="7"/>
        <v>402240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23</v>
      </c>
      <c r="E84" s="89"/>
      <c r="F84" s="12"/>
      <c r="G84" s="45">
        <f t="shared" si="8"/>
        <v>23</v>
      </c>
      <c r="H84" s="12"/>
      <c r="I84" s="94"/>
      <c r="J84" s="82">
        <f t="shared" ref="J84:J97" si="9">D84+E84-H84-I84</f>
        <v>23</v>
      </c>
      <c r="K84" s="96">
        <v>0</v>
      </c>
      <c r="L84" s="82">
        <f t="shared" si="2"/>
        <v>23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-10</v>
      </c>
      <c r="E85" s="90"/>
      <c r="F85" s="11"/>
      <c r="G85" s="16">
        <f t="shared" si="8"/>
        <v>-10</v>
      </c>
      <c r="H85" s="88">
        <v>7</v>
      </c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328</v>
      </c>
      <c r="E86" s="90"/>
      <c r="F86" s="11"/>
      <c r="G86" s="16">
        <f t="shared" si="8"/>
        <v>328</v>
      </c>
      <c r="H86" s="88">
        <v>23</v>
      </c>
      <c r="I86" s="11"/>
      <c r="J86" s="76">
        <f t="shared" si="9"/>
        <v>305</v>
      </c>
      <c r="K86" s="97">
        <v>300</v>
      </c>
      <c r="L86" s="76">
        <f t="shared" si="2"/>
        <v>605</v>
      </c>
      <c r="M86" s="84"/>
      <c r="N86" s="99">
        <v>165</v>
      </c>
      <c r="O86" s="50">
        <f t="shared" si="6"/>
        <v>99825</v>
      </c>
      <c r="P86" s="50">
        <f t="shared" si="7"/>
        <v>50325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284</v>
      </c>
      <c r="E87" s="11"/>
      <c r="F87" s="11"/>
      <c r="G87" s="16">
        <f t="shared" si="8"/>
        <v>284</v>
      </c>
      <c r="H87" s="88">
        <v>11</v>
      </c>
      <c r="I87" s="11"/>
      <c r="J87" s="76">
        <f t="shared" si="9"/>
        <v>273</v>
      </c>
      <c r="K87" s="97">
        <v>-1</v>
      </c>
      <c r="L87" s="76">
        <f t="shared" si="2"/>
        <v>272</v>
      </c>
      <c r="M87" s="86"/>
      <c r="N87" s="99">
        <v>630</v>
      </c>
      <c r="O87" s="50">
        <f t="shared" si="6"/>
        <v>171360</v>
      </c>
      <c r="P87" s="50">
        <f t="shared" si="7"/>
        <v>171990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61</v>
      </c>
      <c r="E88" s="11"/>
      <c r="F88" s="11"/>
      <c r="G88" s="16">
        <f t="shared" si="8"/>
        <v>61</v>
      </c>
      <c r="H88" s="88">
        <v>7</v>
      </c>
      <c r="I88" s="11"/>
      <c r="J88" s="76">
        <f t="shared" si="9"/>
        <v>54</v>
      </c>
      <c r="K88" s="97">
        <v>8</v>
      </c>
      <c r="L88" s="76">
        <f t="shared" ref="L88:L97" si="10">J88+K88</f>
        <v>62</v>
      </c>
      <c r="M88" s="86"/>
      <c r="N88" s="99">
        <v>285</v>
      </c>
      <c r="O88" s="50">
        <f t="shared" si="6"/>
        <v>17670</v>
      </c>
      <c r="P88" s="50">
        <f t="shared" si="7"/>
        <v>15390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563</v>
      </c>
      <c r="E92" s="88"/>
      <c r="F92" s="11"/>
      <c r="G92" s="16">
        <f t="shared" si="8"/>
        <v>563</v>
      </c>
      <c r="H92" s="88"/>
      <c r="I92" s="11"/>
      <c r="J92" s="83">
        <f t="shared" si="9"/>
        <v>563</v>
      </c>
      <c r="K92" s="97">
        <v>0</v>
      </c>
      <c r="L92" s="76">
        <f t="shared" si="10"/>
        <v>563</v>
      </c>
      <c r="M92" s="86"/>
      <c r="N92" s="99">
        <v>113</v>
      </c>
      <c r="O92" s="50">
        <f t="shared" si="6"/>
        <v>63619</v>
      </c>
      <c r="P92" s="50">
        <f t="shared" si="7"/>
        <v>63619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343</v>
      </c>
      <c r="E94" s="88"/>
      <c r="F94" s="11"/>
      <c r="G94" s="16">
        <f t="shared" si="8"/>
        <v>343</v>
      </c>
      <c r="H94" s="88">
        <v>20</v>
      </c>
      <c r="I94" s="11"/>
      <c r="J94" s="83">
        <f t="shared" si="9"/>
        <v>323</v>
      </c>
      <c r="K94" s="97">
        <v>-50</v>
      </c>
      <c r="L94" s="76">
        <f t="shared" si="10"/>
        <v>273</v>
      </c>
      <c r="M94" s="86"/>
      <c r="N94" s="99">
        <v>950</v>
      </c>
      <c r="O94" s="50">
        <f t="shared" si="6"/>
        <v>259350</v>
      </c>
      <c r="P94" s="50">
        <f t="shared" si="7"/>
        <v>306850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1237466.2549999999</v>
      </c>
      <c r="E98" s="27">
        <f t="shared" ref="E98:L98" si="11">SUM(E6:E97)</f>
        <v>91790</v>
      </c>
      <c r="F98" s="27">
        <f t="shared" si="11"/>
        <v>365</v>
      </c>
      <c r="G98" s="27">
        <f t="shared" si="11"/>
        <v>1328891.2549999999</v>
      </c>
      <c r="H98" s="27">
        <f t="shared" si="11"/>
        <v>73920</v>
      </c>
      <c r="I98" s="27">
        <f t="shared" si="11"/>
        <v>0</v>
      </c>
      <c r="J98" s="27">
        <f t="shared" si="11"/>
        <v>1254971.2549999999</v>
      </c>
      <c r="K98" s="27">
        <f t="shared" si="11"/>
        <v>-577979</v>
      </c>
      <c r="L98" s="27">
        <f t="shared" si="11"/>
        <v>676992.25499999989</v>
      </c>
      <c r="M98" s="27">
        <f>SUM(M6:M96)</f>
        <v>0</v>
      </c>
      <c r="N98" s="51"/>
      <c r="O98" s="51">
        <f t="shared" ref="O98" si="12">SUM(O6:O97)</f>
        <v>28404078.150000002</v>
      </c>
      <c r="P98" s="51">
        <f>SUM(P6:P97)</f>
        <v>40794248.850000001</v>
      </c>
      <c r="Q98" s="57">
        <f>O98-P98</f>
        <v>-12390170.699999999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08" t="s">
        <v>115</v>
      </c>
      <c r="M100" s="108"/>
      <c r="O100" s="55" t="s">
        <v>110</v>
      </c>
      <c r="P100" s="54">
        <v>79909923</v>
      </c>
    </row>
    <row r="101" spans="1:22">
      <c r="P101" s="54">
        <f>P100-P98</f>
        <v>39115674.149999999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05"/>
  <sheetViews>
    <sheetView zoomScale="115" zoomScaleNormal="115" workbookViewId="0">
      <pane ySplit="5" topLeftCell="A78" activePane="bottomLeft" state="frozen"/>
      <selection pane="bottomLeft" activeCell="M27" sqref="M27"/>
    </sheetView>
  </sheetViews>
  <sheetFormatPr defaultRowHeight="14.4"/>
  <cols>
    <col min="1" max="1" width="3" style="1" bestFit="1" customWidth="1"/>
    <col min="2" max="2" width="4.5546875" style="1" customWidth="1"/>
    <col min="3" max="3" width="18.6640625" style="1" customWidth="1"/>
    <col min="4" max="4" width="8.5546875" style="1" bestFit="1" customWidth="1"/>
    <col min="5" max="5" width="6.88671875" style="1" customWidth="1"/>
    <col min="6" max="6" width="4.44140625" style="1" customWidth="1"/>
    <col min="7" max="7" width="8" style="1" customWidth="1"/>
    <col min="8" max="8" width="5.6640625" style="1" customWidth="1"/>
    <col min="9" max="9" width="6.21875" style="1" customWidth="1"/>
    <col min="10" max="10" width="8.5546875" style="1" customWidth="1"/>
    <col min="11" max="11" width="7.5546875" style="1" customWidth="1"/>
    <col min="12" max="12" width="8.21875" style="1" customWidth="1"/>
    <col min="13" max="13" width="7.21875" style="1" customWidth="1"/>
    <col min="14" max="14" width="3.33203125" style="1" customWidth="1"/>
    <col min="15" max="15" width="8.109375" style="1" customWidth="1"/>
    <col min="16" max="16" width="10.44140625" style="1" customWidth="1"/>
    <col min="17" max="17" width="12.5546875" style="1" bestFit="1" customWidth="1"/>
    <col min="18" max="16384" width="8.88671875" style="1"/>
  </cols>
  <sheetData>
    <row r="1" spans="1:21" ht="8.4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5"/>
      <c r="O1" s="5"/>
      <c r="P1" s="5"/>
    </row>
    <row r="2" spans="1:21" ht="7.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6"/>
      <c r="O2" s="6"/>
      <c r="P2" s="6"/>
    </row>
    <row r="3" spans="1:21" ht="8.4" customHeight="1">
      <c r="A3" s="130" t="s">
        <v>30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</row>
    <row r="4" spans="1:21" ht="9.6" customHeight="1">
      <c r="A4" s="131" t="s">
        <v>143</v>
      </c>
      <c r="B4" s="131"/>
      <c r="C4" s="131"/>
      <c r="D4" s="2"/>
      <c r="E4" s="3"/>
      <c r="F4" s="3"/>
      <c r="G4" s="3"/>
      <c r="H4" s="3"/>
      <c r="I4" s="38"/>
      <c r="J4" s="3"/>
      <c r="K4" s="3"/>
      <c r="L4" s="3"/>
      <c r="M4" s="4"/>
    </row>
    <row r="5" spans="1:21" ht="15" customHeight="1">
      <c r="A5" s="28" t="s">
        <v>3</v>
      </c>
      <c r="B5" s="28" t="s">
        <v>27</v>
      </c>
      <c r="C5" s="28" t="s">
        <v>4</v>
      </c>
      <c r="D5" s="48" t="s">
        <v>67</v>
      </c>
      <c r="E5" s="48" t="s">
        <v>5</v>
      </c>
      <c r="F5" s="48" t="s">
        <v>6</v>
      </c>
      <c r="G5" s="48" t="s">
        <v>68</v>
      </c>
      <c r="H5" s="48" t="s">
        <v>7</v>
      </c>
      <c r="I5" s="48" t="s">
        <v>80</v>
      </c>
      <c r="J5" s="48" t="s">
        <v>69</v>
      </c>
      <c r="K5" s="48" t="s">
        <v>70</v>
      </c>
      <c r="L5" s="48" t="s">
        <v>78</v>
      </c>
      <c r="M5" s="48" t="s">
        <v>2</v>
      </c>
      <c r="N5" s="56" t="s">
        <v>111</v>
      </c>
      <c r="O5" s="48" t="s">
        <v>112</v>
      </c>
      <c r="P5" s="48" t="s">
        <v>113</v>
      </c>
    </row>
    <row r="6" spans="1:21" ht="7.95" customHeight="1">
      <c r="A6" s="10">
        <v>1</v>
      </c>
      <c r="B6" s="132" t="s">
        <v>28</v>
      </c>
      <c r="C6" s="14" t="s">
        <v>17</v>
      </c>
      <c r="D6" s="15">
        <v>-12501</v>
      </c>
      <c r="E6" s="15">
        <v>31245</v>
      </c>
      <c r="F6" s="16"/>
      <c r="G6" s="15">
        <f>D6+E6-F6</f>
        <v>18744</v>
      </c>
      <c r="H6" s="15">
        <v>26602</v>
      </c>
      <c r="I6" s="16"/>
      <c r="J6" s="15">
        <f>G6-H6-I6</f>
        <v>-7858</v>
      </c>
      <c r="K6" s="15">
        <v>8000</v>
      </c>
      <c r="L6" s="15">
        <f>J6+K6</f>
        <v>142</v>
      </c>
      <c r="M6" s="30" t="s">
        <v>75</v>
      </c>
      <c r="N6" s="99">
        <v>21.5</v>
      </c>
      <c r="O6" s="50">
        <f>L6*N6</f>
        <v>3053</v>
      </c>
      <c r="P6" s="50">
        <f>J6*N6</f>
        <v>-168947</v>
      </c>
      <c r="Q6" s="43">
        <f>O6-P6</f>
        <v>172000</v>
      </c>
      <c r="R6" s="44"/>
    </row>
    <row r="7" spans="1:21" ht="7.95" customHeight="1">
      <c r="A7" s="10">
        <v>2</v>
      </c>
      <c r="B7" s="133"/>
      <c r="C7" s="17" t="s">
        <v>31</v>
      </c>
      <c r="D7" s="15">
        <v>82757</v>
      </c>
      <c r="E7" s="15"/>
      <c r="F7" s="15"/>
      <c r="G7" s="15">
        <f t="shared" ref="G7:G80" si="0">D7+E7-F7</f>
        <v>82757</v>
      </c>
      <c r="H7" s="15">
        <v>9405</v>
      </c>
      <c r="I7" s="15"/>
      <c r="J7" s="15">
        <f t="shared" ref="J7:J70" si="1">G7-H7-I7</f>
        <v>73352</v>
      </c>
      <c r="K7" s="15">
        <v>-5000</v>
      </c>
      <c r="L7" s="15">
        <f t="shared" ref="L7:L87" si="2">J7+K7</f>
        <v>68352</v>
      </c>
      <c r="M7" s="30" t="s">
        <v>75</v>
      </c>
      <c r="N7" s="99">
        <v>38</v>
      </c>
      <c r="O7" s="50">
        <f t="shared" ref="O7:O70" si="3">L7*N7</f>
        <v>2597376</v>
      </c>
      <c r="P7" s="50">
        <f t="shared" ref="P7:P70" si="4">J7*N7</f>
        <v>2787376</v>
      </c>
      <c r="Q7" s="43"/>
      <c r="R7" s="44"/>
    </row>
    <row r="8" spans="1:21" ht="7.95" customHeight="1">
      <c r="A8" s="10">
        <v>3</v>
      </c>
      <c r="B8" s="133"/>
      <c r="C8" s="17" t="s">
        <v>32</v>
      </c>
      <c r="D8" s="15">
        <v>9241</v>
      </c>
      <c r="E8" s="15">
        <v>20059</v>
      </c>
      <c r="F8" s="15"/>
      <c r="G8" s="15">
        <f t="shared" si="0"/>
        <v>29300</v>
      </c>
      <c r="H8" s="15">
        <v>5939</v>
      </c>
      <c r="I8" s="15"/>
      <c r="J8" s="15">
        <f t="shared" si="1"/>
        <v>23361</v>
      </c>
      <c r="K8" s="15">
        <v>0</v>
      </c>
      <c r="L8" s="15">
        <f t="shared" si="2"/>
        <v>23361</v>
      </c>
      <c r="M8" s="30" t="s">
        <v>75</v>
      </c>
      <c r="N8" s="99">
        <v>12</v>
      </c>
      <c r="O8" s="50">
        <f t="shared" si="3"/>
        <v>280332</v>
      </c>
      <c r="P8" s="50">
        <f t="shared" si="4"/>
        <v>280332</v>
      </c>
      <c r="Q8" s="43"/>
      <c r="R8" s="44"/>
      <c r="S8" s="13"/>
      <c r="T8" s="13"/>
      <c r="U8" s="13"/>
    </row>
    <row r="9" spans="1:21" ht="7.95" customHeight="1">
      <c r="A9" s="10">
        <v>4</v>
      </c>
      <c r="B9" s="133"/>
      <c r="C9" s="17" t="s">
        <v>9</v>
      </c>
      <c r="D9" s="15">
        <v>0</v>
      </c>
      <c r="E9" s="15"/>
      <c r="F9" s="15"/>
      <c r="G9" s="15">
        <f t="shared" si="0"/>
        <v>0</v>
      </c>
      <c r="H9" s="15"/>
      <c r="I9" s="15"/>
      <c r="J9" s="15">
        <f t="shared" si="1"/>
        <v>0</v>
      </c>
      <c r="K9" s="15">
        <v>0</v>
      </c>
      <c r="L9" s="15">
        <f t="shared" si="2"/>
        <v>0</v>
      </c>
      <c r="M9" s="30" t="s">
        <v>75</v>
      </c>
      <c r="N9" s="99">
        <v>56</v>
      </c>
      <c r="O9" s="50">
        <f t="shared" si="3"/>
        <v>0</v>
      </c>
      <c r="P9" s="50">
        <f t="shared" si="4"/>
        <v>0</v>
      </c>
      <c r="Q9" s="43"/>
      <c r="R9" s="44"/>
      <c r="S9" s="13"/>
      <c r="T9" s="13"/>
      <c r="U9" s="13"/>
    </row>
    <row r="10" spans="1:21" ht="7.95" customHeight="1">
      <c r="A10" s="10">
        <v>5</v>
      </c>
      <c r="B10" s="133"/>
      <c r="C10" s="17" t="s">
        <v>13</v>
      </c>
      <c r="D10" s="15">
        <v>667261</v>
      </c>
      <c r="E10" s="15"/>
      <c r="F10" s="15"/>
      <c r="G10" s="15">
        <f t="shared" si="0"/>
        <v>667261</v>
      </c>
      <c r="H10" s="15">
        <v>4619</v>
      </c>
      <c r="I10" s="15"/>
      <c r="J10" s="15">
        <f t="shared" si="1"/>
        <v>662642</v>
      </c>
      <c r="K10" s="15">
        <v>-607000</v>
      </c>
      <c r="L10" s="15">
        <f t="shared" si="2"/>
        <v>55642</v>
      </c>
      <c r="M10" s="30"/>
      <c r="N10" s="99">
        <v>23.09</v>
      </c>
      <c r="O10" s="50">
        <f t="shared" si="3"/>
        <v>1284773.78</v>
      </c>
      <c r="P10" s="50">
        <f t="shared" si="4"/>
        <v>15300403.779999999</v>
      </c>
      <c r="Q10" s="43">
        <f>O10-P10</f>
        <v>-14015630</v>
      </c>
      <c r="R10" s="44"/>
      <c r="S10" s="13"/>
      <c r="T10" s="13"/>
      <c r="U10" s="13"/>
    </row>
    <row r="11" spans="1:21" ht="7.95" customHeight="1">
      <c r="A11" s="10">
        <v>6</v>
      </c>
      <c r="B11" s="133"/>
      <c r="C11" s="17" t="s">
        <v>20</v>
      </c>
      <c r="D11" s="15">
        <v>7681</v>
      </c>
      <c r="E11" s="15"/>
      <c r="F11" s="15"/>
      <c r="G11" s="15">
        <f t="shared" si="0"/>
        <v>7681</v>
      </c>
      <c r="H11" s="15">
        <v>1325</v>
      </c>
      <c r="I11" s="15"/>
      <c r="J11" s="15">
        <f t="shared" si="1"/>
        <v>6356</v>
      </c>
      <c r="K11" s="15">
        <v>2000</v>
      </c>
      <c r="L11" s="15">
        <f t="shared" si="2"/>
        <v>8356</v>
      </c>
      <c r="M11" s="30" t="s">
        <v>75</v>
      </c>
      <c r="N11" s="99">
        <v>16.5</v>
      </c>
      <c r="O11" s="50">
        <f t="shared" si="3"/>
        <v>137874</v>
      </c>
      <c r="P11" s="50">
        <f t="shared" si="4"/>
        <v>104874</v>
      </c>
      <c r="Q11" s="43"/>
      <c r="R11" s="44"/>
      <c r="S11" s="13"/>
      <c r="T11" s="13"/>
      <c r="U11" s="13"/>
    </row>
    <row r="12" spans="1:21" ht="7.95" customHeight="1">
      <c r="A12" s="10">
        <v>7</v>
      </c>
      <c r="B12" s="133"/>
      <c r="C12" s="17" t="s">
        <v>19</v>
      </c>
      <c r="D12" s="15">
        <v>109</v>
      </c>
      <c r="E12" s="15"/>
      <c r="F12" s="15"/>
      <c r="G12" s="15">
        <f t="shared" si="0"/>
        <v>109</v>
      </c>
      <c r="H12" s="15"/>
      <c r="I12" s="15"/>
      <c r="J12" s="15">
        <f t="shared" si="1"/>
        <v>109</v>
      </c>
      <c r="K12" s="15">
        <v>-109</v>
      </c>
      <c r="L12" s="15">
        <f t="shared" si="2"/>
        <v>0</v>
      </c>
      <c r="M12" s="30"/>
      <c r="N12" s="99">
        <v>53</v>
      </c>
      <c r="O12" s="50">
        <f t="shared" si="3"/>
        <v>0</v>
      </c>
      <c r="P12" s="50">
        <f t="shared" si="4"/>
        <v>5777</v>
      </c>
      <c r="Q12" s="43"/>
      <c r="R12" s="44"/>
      <c r="S12" s="13"/>
      <c r="T12" s="13"/>
      <c r="U12" s="13"/>
    </row>
    <row r="13" spans="1:21" ht="7.95" customHeight="1">
      <c r="A13" s="10">
        <v>8</v>
      </c>
      <c r="B13" s="133"/>
      <c r="C13" s="17" t="s">
        <v>14</v>
      </c>
      <c r="D13" s="15">
        <v>-2460</v>
      </c>
      <c r="E13" s="15">
        <v>13326</v>
      </c>
      <c r="F13" s="15"/>
      <c r="G13" s="15">
        <f t="shared" si="0"/>
        <v>10866</v>
      </c>
      <c r="H13" s="15">
        <v>5132</v>
      </c>
      <c r="I13" s="15"/>
      <c r="J13" s="15">
        <f t="shared" si="1"/>
        <v>5734</v>
      </c>
      <c r="K13" s="15">
        <v>5000</v>
      </c>
      <c r="L13" s="15">
        <f t="shared" si="2"/>
        <v>10734</v>
      </c>
      <c r="M13" s="30" t="s">
        <v>75</v>
      </c>
      <c r="N13" s="99">
        <v>27.5</v>
      </c>
      <c r="O13" s="50">
        <f t="shared" si="3"/>
        <v>295185</v>
      </c>
      <c r="P13" s="50">
        <f t="shared" si="4"/>
        <v>157685</v>
      </c>
      <c r="Q13" s="43"/>
      <c r="R13" s="44"/>
      <c r="S13" s="13"/>
      <c r="T13" s="13"/>
      <c r="U13" s="13"/>
    </row>
    <row r="14" spans="1:21" ht="7.95" customHeight="1">
      <c r="A14" s="10">
        <v>9</v>
      </c>
      <c r="B14" s="133"/>
      <c r="C14" s="17" t="s">
        <v>34</v>
      </c>
      <c r="D14" s="15">
        <v>15187</v>
      </c>
      <c r="E14" s="15"/>
      <c r="F14" s="15"/>
      <c r="G14" s="15">
        <f t="shared" si="0"/>
        <v>15187</v>
      </c>
      <c r="H14" s="15">
        <v>238</v>
      </c>
      <c r="I14" s="16"/>
      <c r="J14" s="15">
        <f t="shared" si="1"/>
        <v>14949</v>
      </c>
      <c r="K14" s="15">
        <v>-1000</v>
      </c>
      <c r="L14" s="15">
        <f t="shared" si="2"/>
        <v>13949</v>
      </c>
      <c r="M14" s="30"/>
      <c r="N14" s="99">
        <v>59</v>
      </c>
      <c r="O14" s="50">
        <f t="shared" si="3"/>
        <v>822991</v>
      </c>
      <c r="P14" s="50">
        <f t="shared" si="4"/>
        <v>881991</v>
      </c>
      <c r="Q14" s="43"/>
      <c r="R14" s="44"/>
      <c r="S14" s="13"/>
      <c r="T14" s="13"/>
      <c r="U14" s="13"/>
    </row>
    <row r="15" spans="1:21" ht="7.95" customHeight="1">
      <c r="A15" s="10">
        <v>10</v>
      </c>
      <c r="B15" s="133"/>
      <c r="C15" s="18" t="s">
        <v>11</v>
      </c>
      <c r="D15" s="15">
        <v>0</v>
      </c>
      <c r="E15" s="15"/>
      <c r="F15" s="15"/>
      <c r="G15" s="15">
        <f t="shared" si="0"/>
        <v>0</v>
      </c>
      <c r="H15" s="15"/>
      <c r="I15" s="16"/>
      <c r="J15" s="15">
        <f t="shared" si="1"/>
        <v>0</v>
      </c>
      <c r="K15" s="15">
        <v>0</v>
      </c>
      <c r="L15" s="15">
        <f t="shared" si="2"/>
        <v>0</v>
      </c>
      <c r="M15" s="30" t="s">
        <v>75</v>
      </c>
      <c r="N15" s="99">
        <v>105</v>
      </c>
      <c r="O15" s="50">
        <f t="shared" si="3"/>
        <v>0</v>
      </c>
      <c r="P15" s="50">
        <f t="shared" si="4"/>
        <v>0</v>
      </c>
      <c r="Q15" s="43"/>
      <c r="R15" s="44"/>
      <c r="S15" s="13"/>
      <c r="T15" s="13"/>
      <c r="U15" s="13"/>
    </row>
    <row r="16" spans="1:21" ht="7.95" customHeight="1">
      <c r="A16" s="10">
        <v>11</v>
      </c>
      <c r="B16" s="133"/>
      <c r="C16" s="17" t="s">
        <v>33</v>
      </c>
      <c r="D16" s="15">
        <v>29522</v>
      </c>
      <c r="E16" s="29"/>
      <c r="F16" s="15"/>
      <c r="G16" s="15">
        <f t="shared" si="0"/>
        <v>29522</v>
      </c>
      <c r="H16" s="15">
        <v>852</v>
      </c>
      <c r="I16" s="16"/>
      <c r="J16" s="15">
        <f t="shared" si="1"/>
        <v>28670</v>
      </c>
      <c r="K16" s="15">
        <v>0</v>
      </c>
      <c r="L16" s="15">
        <f>J16+K16</f>
        <v>28670</v>
      </c>
      <c r="M16" s="30"/>
      <c r="N16" s="99">
        <v>43.25</v>
      </c>
      <c r="O16" s="50">
        <f t="shared" si="3"/>
        <v>1239977.5</v>
      </c>
      <c r="P16" s="50">
        <f t="shared" si="4"/>
        <v>1239977.5</v>
      </c>
      <c r="Q16" s="43"/>
      <c r="R16" s="44"/>
      <c r="S16" s="13"/>
      <c r="T16" s="13"/>
      <c r="U16" s="13"/>
    </row>
    <row r="17" spans="1:21" ht="7.95" customHeight="1">
      <c r="A17" s="10">
        <v>12</v>
      </c>
      <c r="B17" s="133"/>
      <c r="C17" s="14" t="s">
        <v>15</v>
      </c>
      <c r="D17" s="15">
        <v>81.4399999999996</v>
      </c>
      <c r="E17" s="15"/>
      <c r="F17" s="15"/>
      <c r="G17" s="15">
        <f t="shared" si="0"/>
        <v>81.4399999999996</v>
      </c>
      <c r="H17" s="15"/>
      <c r="I17" s="16"/>
      <c r="J17" s="15">
        <f t="shared" si="1"/>
        <v>81.4399999999996</v>
      </c>
      <c r="K17" s="15">
        <v>0</v>
      </c>
      <c r="L17" s="15">
        <f t="shared" si="2"/>
        <v>81.4399999999996</v>
      </c>
      <c r="M17" s="31"/>
      <c r="N17" s="99">
        <v>53</v>
      </c>
      <c r="O17" s="50">
        <f t="shared" si="3"/>
        <v>4316.3199999999788</v>
      </c>
      <c r="P17" s="50">
        <f t="shared" si="4"/>
        <v>4316.3199999999788</v>
      </c>
      <c r="Q17" s="43"/>
      <c r="R17" s="44"/>
      <c r="S17" s="13"/>
      <c r="T17" s="13"/>
      <c r="U17" s="13"/>
    </row>
    <row r="18" spans="1:21" ht="7.95" customHeight="1">
      <c r="A18" s="10">
        <v>13</v>
      </c>
      <c r="B18" s="133"/>
      <c r="C18" s="17" t="s">
        <v>128</v>
      </c>
      <c r="D18" s="15">
        <v>1463</v>
      </c>
      <c r="E18" s="15"/>
      <c r="F18" s="15"/>
      <c r="G18" s="15">
        <f t="shared" si="0"/>
        <v>1463</v>
      </c>
      <c r="H18" s="15"/>
      <c r="I18" s="16"/>
      <c r="J18" s="15">
        <f t="shared" si="1"/>
        <v>1463</v>
      </c>
      <c r="K18" s="15">
        <v>0</v>
      </c>
      <c r="L18" s="15">
        <f t="shared" si="2"/>
        <v>1463</v>
      </c>
      <c r="M18" s="31"/>
      <c r="N18" s="99"/>
      <c r="O18" s="50">
        <f t="shared" si="3"/>
        <v>0</v>
      </c>
      <c r="P18" s="50">
        <f t="shared" si="4"/>
        <v>0</v>
      </c>
      <c r="Q18" s="43"/>
      <c r="R18" s="44"/>
      <c r="S18" s="13"/>
      <c r="T18" s="13"/>
      <c r="U18" s="13"/>
    </row>
    <row r="19" spans="1:21" ht="7.95" customHeight="1">
      <c r="A19" s="10">
        <v>14</v>
      </c>
      <c r="B19" s="133"/>
      <c r="C19" s="17" t="s">
        <v>18</v>
      </c>
      <c r="D19" s="15">
        <v>14933</v>
      </c>
      <c r="E19" s="15"/>
      <c r="F19" s="15"/>
      <c r="G19" s="15">
        <f t="shared" si="0"/>
        <v>14933</v>
      </c>
      <c r="H19" s="15">
        <v>2039</v>
      </c>
      <c r="I19" s="16"/>
      <c r="J19" s="15">
        <f t="shared" si="1"/>
        <v>12894</v>
      </c>
      <c r="K19" s="15">
        <v>1000</v>
      </c>
      <c r="L19" s="15">
        <f t="shared" si="2"/>
        <v>13894</v>
      </c>
      <c r="M19" s="30"/>
      <c r="N19" s="99">
        <v>22.8</v>
      </c>
      <c r="O19" s="50">
        <f t="shared" si="3"/>
        <v>316783.2</v>
      </c>
      <c r="P19" s="50">
        <f t="shared" si="4"/>
        <v>293983.2</v>
      </c>
      <c r="Q19" s="43"/>
      <c r="R19" s="44"/>
      <c r="S19" s="13"/>
      <c r="T19" s="13"/>
      <c r="U19" s="13"/>
    </row>
    <row r="20" spans="1:21" ht="7.95" customHeight="1">
      <c r="A20" s="10">
        <v>15</v>
      </c>
      <c r="B20" s="133"/>
      <c r="C20" s="17" t="s">
        <v>121</v>
      </c>
      <c r="D20" s="15">
        <v>7628</v>
      </c>
      <c r="E20" s="15"/>
      <c r="F20" s="15"/>
      <c r="G20" s="15">
        <f t="shared" si="0"/>
        <v>7628</v>
      </c>
      <c r="H20" s="15">
        <v>208</v>
      </c>
      <c r="I20" s="16"/>
      <c r="J20" s="15">
        <f t="shared" si="1"/>
        <v>7420</v>
      </c>
      <c r="K20" s="15">
        <v>0</v>
      </c>
      <c r="L20" s="15">
        <f t="shared" si="2"/>
        <v>7420</v>
      </c>
      <c r="M20" s="30" t="s">
        <v>75</v>
      </c>
      <c r="N20" s="99">
        <v>20</v>
      </c>
      <c r="O20" s="50">
        <f t="shared" si="3"/>
        <v>148400</v>
      </c>
      <c r="P20" s="50">
        <f t="shared" si="4"/>
        <v>148400</v>
      </c>
      <c r="Q20" s="43"/>
      <c r="R20" s="44"/>
      <c r="S20" s="13"/>
      <c r="T20" s="13"/>
      <c r="U20" s="13"/>
    </row>
    <row r="21" spans="1:21" ht="7.95" customHeight="1">
      <c r="A21" s="10">
        <v>16</v>
      </c>
      <c r="B21" s="133"/>
      <c r="C21" s="19" t="s">
        <v>72</v>
      </c>
      <c r="D21" s="15">
        <v>7299</v>
      </c>
      <c r="E21" s="15"/>
      <c r="F21" s="15"/>
      <c r="G21" s="15">
        <f t="shared" si="0"/>
        <v>7299</v>
      </c>
      <c r="H21" s="15">
        <v>770</v>
      </c>
      <c r="I21" s="16"/>
      <c r="J21" s="15">
        <f t="shared" si="1"/>
        <v>6529</v>
      </c>
      <c r="K21" s="15">
        <v>0</v>
      </c>
      <c r="L21" s="15">
        <f t="shared" si="2"/>
        <v>6529</v>
      </c>
      <c r="M21" s="30"/>
      <c r="N21" s="99">
        <v>8.5</v>
      </c>
      <c r="O21" s="50">
        <f t="shared" si="3"/>
        <v>55496.5</v>
      </c>
      <c r="P21" s="50">
        <f t="shared" si="4"/>
        <v>55496.5</v>
      </c>
      <c r="Q21" s="43"/>
      <c r="R21" s="44"/>
      <c r="S21" s="13"/>
      <c r="T21" s="13"/>
      <c r="U21" s="13"/>
    </row>
    <row r="22" spans="1:21" ht="7.95" customHeight="1">
      <c r="A22" s="10">
        <v>17</v>
      </c>
      <c r="B22" s="133"/>
      <c r="C22" s="17" t="s">
        <v>109</v>
      </c>
      <c r="D22" s="15">
        <v>249280</v>
      </c>
      <c r="E22" s="15"/>
      <c r="F22" s="15"/>
      <c r="G22" s="15">
        <f t="shared" si="0"/>
        <v>249280</v>
      </c>
      <c r="H22" s="15">
        <v>1158</v>
      </c>
      <c r="I22" s="16"/>
      <c r="J22" s="15">
        <f t="shared" si="1"/>
        <v>248122</v>
      </c>
      <c r="K22" s="15">
        <v>8000</v>
      </c>
      <c r="L22" s="15">
        <f t="shared" si="2"/>
        <v>256122</v>
      </c>
      <c r="M22" s="30"/>
      <c r="N22" s="99">
        <v>8.5</v>
      </c>
      <c r="O22" s="50">
        <f t="shared" si="3"/>
        <v>2177037</v>
      </c>
      <c r="P22" s="50">
        <f t="shared" si="4"/>
        <v>2109037</v>
      </c>
      <c r="Q22" s="43"/>
      <c r="R22" s="43">
        <f>600*6</f>
        <v>3600</v>
      </c>
      <c r="S22" s="13"/>
      <c r="T22" s="13"/>
      <c r="U22" s="13"/>
    </row>
    <row r="23" spans="1:21" ht="7.95" customHeight="1">
      <c r="A23" s="10">
        <v>18</v>
      </c>
      <c r="B23" s="133"/>
      <c r="C23" s="17" t="s">
        <v>88</v>
      </c>
      <c r="D23" s="15">
        <v>1709</v>
      </c>
      <c r="E23" s="15"/>
      <c r="F23" s="15"/>
      <c r="G23" s="15">
        <f t="shared" si="0"/>
        <v>1709</v>
      </c>
      <c r="H23" s="15">
        <v>615</v>
      </c>
      <c r="I23" s="16"/>
      <c r="J23" s="15">
        <f t="shared" si="1"/>
        <v>1094</v>
      </c>
      <c r="K23" s="15">
        <v>1500</v>
      </c>
      <c r="L23" s="15">
        <f t="shared" si="2"/>
        <v>2594</v>
      </c>
      <c r="M23" s="30" t="s">
        <v>75</v>
      </c>
      <c r="N23" s="99">
        <v>82</v>
      </c>
      <c r="O23" s="50">
        <f t="shared" si="3"/>
        <v>212708</v>
      </c>
      <c r="P23" s="50">
        <f t="shared" si="4"/>
        <v>89708</v>
      </c>
      <c r="Q23" s="43"/>
      <c r="R23" s="44"/>
      <c r="S23" s="13"/>
      <c r="T23" s="13"/>
      <c r="U23" s="13"/>
    </row>
    <row r="24" spans="1:21" ht="7.95" customHeight="1">
      <c r="A24" s="10">
        <v>19</v>
      </c>
      <c r="B24" s="133"/>
      <c r="C24" s="17" t="s">
        <v>8</v>
      </c>
      <c r="D24" s="15">
        <v>16194</v>
      </c>
      <c r="E24" s="29"/>
      <c r="F24" s="29"/>
      <c r="G24" s="15">
        <f t="shared" si="0"/>
        <v>16194</v>
      </c>
      <c r="H24" s="15">
        <v>1037</v>
      </c>
      <c r="I24" s="16"/>
      <c r="J24" s="15">
        <f t="shared" si="1"/>
        <v>15157</v>
      </c>
      <c r="K24" s="15">
        <v>2713</v>
      </c>
      <c r="L24" s="15">
        <f t="shared" si="2"/>
        <v>17870</v>
      </c>
      <c r="M24" s="30"/>
      <c r="N24" s="99">
        <v>22.1</v>
      </c>
      <c r="O24" s="50">
        <f t="shared" si="3"/>
        <v>394927</v>
      </c>
      <c r="P24" s="50">
        <f t="shared" si="4"/>
        <v>334969.7</v>
      </c>
      <c r="Q24" s="43"/>
      <c r="R24" s="44"/>
      <c r="S24" s="13"/>
      <c r="T24" s="13"/>
      <c r="U24" s="13"/>
    </row>
    <row r="25" spans="1:21" ht="7.95" customHeight="1">
      <c r="A25" s="10">
        <v>20</v>
      </c>
      <c r="B25" s="133"/>
      <c r="C25" s="17" t="s">
        <v>73</v>
      </c>
      <c r="D25" s="15">
        <v>0</v>
      </c>
      <c r="E25" s="15"/>
      <c r="F25" s="15"/>
      <c r="G25" s="15">
        <f t="shared" si="0"/>
        <v>0</v>
      </c>
      <c r="H25" s="15"/>
      <c r="I25" s="16"/>
      <c r="J25" s="76">
        <f t="shared" si="1"/>
        <v>0</v>
      </c>
      <c r="K25" s="76">
        <v>0</v>
      </c>
      <c r="L25" s="76">
        <f t="shared" si="2"/>
        <v>0</v>
      </c>
      <c r="M25" s="77"/>
      <c r="N25" s="99"/>
      <c r="O25" s="50">
        <f t="shared" si="3"/>
        <v>0</v>
      </c>
      <c r="P25" s="50">
        <f t="shared" si="4"/>
        <v>0</v>
      </c>
      <c r="Q25" s="43"/>
      <c r="R25" s="44"/>
      <c r="S25" s="13"/>
      <c r="T25" s="13"/>
      <c r="U25" s="13"/>
    </row>
    <row r="26" spans="1:21" ht="7.95" customHeight="1">
      <c r="A26" s="10">
        <v>21</v>
      </c>
      <c r="B26" s="133"/>
      <c r="C26" s="17" t="s">
        <v>132</v>
      </c>
      <c r="D26" s="15">
        <v>7521</v>
      </c>
      <c r="E26" s="15"/>
      <c r="F26" s="15"/>
      <c r="G26" s="15">
        <f t="shared" si="0"/>
        <v>7521</v>
      </c>
      <c r="H26" s="15">
        <v>740</v>
      </c>
      <c r="I26" s="16"/>
      <c r="J26" s="76">
        <f t="shared" si="1"/>
        <v>6781</v>
      </c>
      <c r="K26" s="76">
        <v>0</v>
      </c>
      <c r="L26" s="76">
        <f t="shared" si="2"/>
        <v>6781</v>
      </c>
      <c r="M26" s="77"/>
      <c r="N26" s="99"/>
      <c r="O26" s="50">
        <f t="shared" si="3"/>
        <v>0</v>
      </c>
      <c r="P26" s="50">
        <f t="shared" si="4"/>
        <v>0</v>
      </c>
      <c r="Q26" s="43"/>
      <c r="R26" s="44"/>
      <c r="S26" s="13"/>
      <c r="T26" s="13"/>
      <c r="U26" s="13"/>
    </row>
    <row r="27" spans="1:21" ht="7.95" customHeight="1">
      <c r="A27" s="10">
        <v>22</v>
      </c>
      <c r="B27" s="133"/>
      <c r="C27" s="17" t="s">
        <v>123</v>
      </c>
      <c r="D27" s="15">
        <v>452</v>
      </c>
      <c r="E27" s="15"/>
      <c r="F27" s="15"/>
      <c r="G27" s="15">
        <f t="shared" si="0"/>
        <v>452</v>
      </c>
      <c r="H27" s="15"/>
      <c r="I27" s="16"/>
      <c r="J27" s="76">
        <f t="shared" si="1"/>
        <v>452</v>
      </c>
      <c r="K27" s="76">
        <v>424</v>
      </c>
      <c r="L27" s="76">
        <f t="shared" si="2"/>
        <v>876</v>
      </c>
      <c r="M27" s="77"/>
      <c r="N27" s="99"/>
      <c r="O27" s="50">
        <f t="shared" si="3"/>
        <v>0</v>
      </c>
      <c r="P27" s="50">
        <f t="shared" si="4"/>
        <v>0</v>
      </c>
      <c r="Q27" s="43"/>
      <c r="R27" s="44"/>
      <c r="S27" s="13"/>
      <c r="T27" s="13"/>
      <c r="U27" s="13"/>
    </row>
    <row r="28" spans="1:21" ht="7.95" customHeight="1">
      <c r="A28" s="10">
        <v>23</v>
      </c>
      <c r="B28" s="133"/>
      <c r="C28" s="17" t="s">
        <v>16</v>
      </c>
      <c r="D28" s="15">
        <v>0</v>
      </c>
      <c r="E28" s="15"/>
      <c r="F28" s="15"/>
      <c r="G28" s="15">
        <f t="shared" si="0"/>
        <v>0</v>
      </c>
      <c r="H28" s="15"/>
      <c r="I28" s="16"/>
      <c r="J28" s="76">
        <f t="shared" si="1"/>
        <v>0</v>
      </c>
      <c r="K28" s="76">
        <v>600</v>
      </c>
      <c r="L28" s="76">
        <f t="shared" si="2"/>
        <v>600</v>
      </c>
      <c r="M28" s="77"/>
      <c r="N28" s="99">
        <v>160</v>
      </c>
      <c r="O28" s="50">
        <f t="shared" si="3"/>
        <v>96000</v>
      </c>
      <c r="P28" s="50">
        <f t="shared" si="4"/>
        <v>0</v>
      </c>
      <c r="Q28" s="43"/>
      <c r="R28" s="44"/>
      <c r="S28" s="13"/>
      <c r="T28" s="13"/>
      <c r="U28" s="13"/>
    </row>
    <row r="29" spans="1:21" ht="7.95" customHeight="1">
      <c r="A29" s="10">
        <v>24</v>
      </c>
      <c r="B29" s="133"/>
      <c r="C29" s="17" t="s">
        <v>89</v>
      </c>
      <c r="D29" s="15">
        <v>0</v>
      </c>
      <c r="E29" s="15"/>
      <c r="F29" s="15"/>
      <c r="G29" s="15">
        <f t="shared" si="0"/>
        <v>0</v>
      </c>
      <c r="H29" s="15"/>
      <c r="I29" s="16"/>
      <c r="J29" s="76">
        <f t="shared" si="1"/>
        <v>0</v>
      </c>
      <c r="K29" s="76">
        <v>67</v>
      </c>
      <c r="L29" s="76">
        <f t="shared" si="2"/>
        <v>67</v>
      </c>
      <c r="M29" s="78"/>
      <c r="N29" s="99">
        <v>72</v>
      </c>
      <c r="O29" s="50">
        <f t="shared" si="3"/>
        <v>4824</v>
      </c>
      <c r="P29" s="50">
        <f t="shared" si="4"/>
        <v>0</v>
      </c>
      <c r="Q29" s="43"/>
      <c r="R29" s="44"/>
      <c r="S29" s="13"/>
      <c r="T29" s="13"/>
      <c r="U29" s="13"/>
    </row>
    <row r="30" spans="1:21" ht="7.95" customHeight="1">
      <c r="A30" s="10">
        <v>25</v>
      </c>
      <c r="B30" s="133"/>
      <c r="C30" s="17" t="s">
        <v>38</v>
      </c>
      <c r="D30" s="15">
        <v>208</v>
      </c>
      <c r="E30" s="15"/>
      <c r="F30" s="15"/>
      <c r="G30" s="15">
        <f t="shared" si="0"/>
        <v>208</v>
      </c>
      <c r="H30" s="15"/>
      <c r="I30" s="16"/>
      <c r="J30" s="76">
        <f t="shared" si="1"/>
        <v>208</v>
      </c>
      <c r="K30" s="76">
        <v>0</v>
      </c>
      <c r="L30" s="76">
        <f t="shared" si="2"/>
        <v>208</v>
      </c>
      <c r="M30" s="77"/>
      <c r="N30" s="99"/>
      <c r="O30" s="50">
        <f t="shared" si="3"/>
        <v>0</v>
      </c>
      <c r="P30" s="50">
        <f t="shared" si="4"/>
        <v>0</v>
      </c>
      <c r="Q30" s="43"/>
      <c r="R30" s="44"/>
      <c r="S30" s="13"/>
      <c r="T30" s="13"/>
      <c r="U30" s="13"/>
    </row>
    <row r="31" spans="1:21" ht="7.95" customHeight="1">
      <c r="A31" s="10">
        <v>26</v>
      </c>
      <c r="B31" s="133"/>
      <c r="C31" s="17" t="s">
        <v>79</v>
      </c>
      <c r="D31" s="15">
        <v>10009</v>
      </c>
      <c r="E31" s="15"/>
      <c r="F31" s="15"/>
      <c r="G31" s="15">
        <f t="shared" si="0"/>
        <v>10009</v>
      </c>
      <c r="H31" s="15"/>
      <c r="I31" s="16"/>
      <c r="J31" s="76">
        <f t="shared" si="1"/>
        <v>10009</v>
      </c>
      <c r="K31" s="76">
        <v>0</v>
      </c>
      <c r="L31" s="76">
        <f t="shared" si="2"/>
        <v>10009</v>
      </c>
      <c r="M31" s="78"/>
      <c r="N31" s="99">
        <v>60</v>
      </c>
      <c r="O31" s="50">
        <f t="shared" si="3"/>
        <v>600540</v>
      </c>
      <c r="P31" s="50">
        <f t="shared" si="4"/>
        <v>600540</v>
      </c>
      <c r="Q31" s="43"/>
      <c r="R31" s="44"/>
      <c r="S31" s="13"/>
      <c r="T31" s="13"/>
      <c r="U31" s="13"/>
    </row>
    <row r="32" spans="1:21" ht="7.95" customHeight="1">
      <c r="A32" s="10">
        <v>27</v>
      </c>
      <c r="B32" s="133"/>
      <c r="C32" s="17" t="s">
        <v>142</v>
      </c>
      <c r="D32" s="15">
        <v>29360</v>
      </c>
      <c r="E32" s="15"/>
      <c r="F32" s="15"/>
      <c r="G32" s="15">
        <f t="shared" si="0"/>
        <v>29360</v>
      </c>
      <c r="H32" s="15">
        <v>6820</v>
      </c>
      <c r="I32" s="16"/>
      <c r="J32" s="76">
        <f t="shared" si="1"/>
        <v>22540</v>
      </c>
      <c r="K32" s="76"/>
      <c r="L32" s="76">
        <f t="shared" si="2"/>
        <v>22540</v>
      </c>
      <c r="M32" s="77"/>
      <c r="N32" s="99"/>
      <c r="O32" s="50">
        <f t="shared" si="3"/>
        <v>0</v>
      </c>
      <c r="P32" s="50">
        <f t="shared" si="4"/>
        <v>0</v>
      </c>
      <c r="Q32" s="43"/>
      <c r="R32" s="44"/>
      <c r="S32" s="13"/>
      <c r="T32" s="13"/>
      <c r="U32" s="13"/>
    </row>
    <row r="33" spans="1:22" ht="7.95" customHeight="1">
      <c r="A33" s="10">
        <v>28</v>
      </c>
      <c r="B33" s="133"/>
      <c r="C33" s="17" t="s">
        <v>10</v>
      </c>
      <c r="D33" s="15">
        <v>16299</v>
      </c>
      <c r="E33" s="15"/>
      <c r="F33" s="15"/>
      <c r="G33" s="15">
        <f t="shared" si="0"/>
        <v>16299</v>
      </c>
      <c r="H33" s="15">
        <v>367</v>
      </c>
      <c r="I33" s="16"/>
      <c r="J33" s="76">
        <f t="shared" si="1"/>
        <v>15932</v>
      </c>
      <c r="K33" s="76">
        <v>206</v>
      </c>
      <c r="L33" s="76">
        <f t="shared" si="2"/>
        <v>16138</v>
      </c>
      <c r="M33" s="30"/>
      <c r="N33" s="99">
        <v>12.49</v>
      </c>
      <c r="O33" s="50">
        <f t="shared" si="3"/>
        <v>201563.62</v>
      </c>
      <c r="P33" s="50">
        <f t="shared" si="4"/>
        <v>198990.68</v>
      </c>
      <c r="Q33" s="43"/>
      <c r="R33" s="44"/>
      <c r="S33" s="13"/>
      <c r="T33" s="13"/>
      <c r="U33" s="13"/>
    </row>
    <row r="34" spans="1:22" ht="7.95" customHeight="1">
      <c r="A34" s="10">
        <v>29</v>
      </c>
      <c r="B34" s="132" t="s">
        <v>29</v>
      </c>
      <c r="C34" s="17" t="s">
        <v>126</v>
      </c>
      <c r="D34" s="15">
        <v>228</v>
      </c>
      <c r="E34" s="15"/>
      <c r="F34" s="15"/>
      <c r="G34" s="15">
        <f t="shared" si="0"/>
        <v>228</v>
      </c>
      <c r="H34" s="15">
        <v>7</v>
      </c>
      <c r="I34" s="16"/>
      <c r="J34" s="76">
        <f t="shared" si="1"/>
        <v>221</v>
      </c>
      <c r="K34" s="76">
        <v>-50</v>
      </c>
      <c r="L34" s="76">
        <f t="shared" si="2"/>
        <v>171</v>
      </c>
      <c r="M34" s="77"/>
      <c r="N34" s="99">
        <v>435</v>
      </c>
      <c r="O34" s="50">
        <f t="shared" si="3"/>
        <v>74385</v>
      </c>
      <c r="P34" s="50">
        <f t="shared" si="4"/>
        <v>96135</v>
      </c>
      <c r="Q34" s="43"/>
      <c r="R34" s="44"/>
      <c r="S34" s="13"/>
      <c r="T34" s="13"/>
      <c r="U34" s="13"/>
    </row>
    <row r="35" spans="1:22" ht="7.95" customHeight="1">
      <c r="A35" s="10">
        <v>30</v>
      </c>
      <c r="B35" s="133"/>
      <c r="C35" s="17" t="s">
        <v>87</v>
      </c>
      <c r="D35" s="15">
        <v>176</v>
      </c>
      <c r="E35" s="15"/>
      <c r="F35" s="15"/>
      <c r="G35" s="15">
        <f t="shared" si="0"/>
        <v>176</v>
      </c>
      <c r="H35" s="15">
        <v>5</v>
      </c>
      <c r="I35" s="16"/>
      <c r="J35" s="76">
        <f>G35-H35-I35</f>
        <v>171</v>
      </c>
      <c r="K35" s="76">
        <v>-50</v>
      </c>
      <c r="L35" s="76">
        <f t="shared" si="2"/>
        <v>121</v>
      </c>
      <c r="M35" s="84"/>
      <c r="N35" s="99">
        <v>730</v>
      </c>
      <c r="O35" s="50">
        <f t="shared" si="3"/>
        <v>88330</v>
      </c>
      <c r="P35" s="50">
        <f t="shared" si="4"/>
        <v>124830</v>
      </c>
      <c r="Q35" s="43"/>
      <c r="R35" s="44"/>
      <c r="S35" s="13"/>
      <c r="T35" s="13"/>
      <c r="U35" s="13"/>
      <c r="V35" s="84">
        <f>7*25+17</f>
        <v>192</v>
      </c>
    </row>
    <row r="36" spans="1:22" ht="7.95" customHeight="1">
      <c r="A36" s="10">
        <v>31</v>
      </c>
      <c r="B36" s="133"/>
      <c r="C36" s="17" t="s">
        <v>41</v>
      </c>
      <c r="D36" s="15">
        <v>367</v>
      </c>
      <c r="E36" s="15"/>
      <c r="F36" s="15"/>
      <c r="G36" s="15">
        <f t="shared" si="0"/>
        <v>367</v>
      </c>
      <c r="H36" s="16">
        <v>3</v>
      </c>
      <c r="I36" s="16"/>
      <c r="J36" s="76">
        <f t="shared" si="1"/>
        <v>364</v>
      </c>
      <c r="K36" s="76">
        <v>-125</v>
      </c>
      <c r="L36" s="76">
        <f t="shared" si="2"/>
        <v>239</v>
      </c>
      <c r="M36" s="84"/>
      <c r="N36" s="99">
        <v>155</v>
      </c>
      <c r="O36" s="50">
        <f t="shared" si="3"/>
        <v>37045</v>
      </c>
      <c r="P36" s="50">
        <f t="shared" si="4"/>
        <v>56420</v>
      </c>
      <c r="Q36" s="43"/>
      <c r="R36" s="44"/>
      <c r="S36" s="13"/>
      <c r="T36" s="13"/>
      <c r="U36" s="13"/>
      <c r="V36" s="84"/>
    </row>
    <row r="37" spans="1:22" ht="7.95" customHeight="1">
      <c r="A37" s="10">
        <v>32</v>
      </c>
      <c r="B37" s="133"/>
      <c r="C37" s="17" t="s">
        <v>130</v>
      </c>
      <c r="D37" s="15">
        <v>1369</v>
      </c>
      <c r="E37" s="15"/>
      <c r="F37" s="15"/>
      <c r="G37" s="15">
        <f t="shared" si="0"/>
        <v>1369</v>
      </c>
      <c r="H37" s="16">
        <v>100</v>
      </c>
      <c r="I37" s="16"/>
      <c r="J37" s="76">
        <f t="shared" si="1"/>
        <v>1269</v>
      </c>
      <c r="K37" s="76">
        <v>0</v>
      </c>
      <c r="L37" s="76">
        <f t="shared" si="2"/>
        <v>1269</v>
      </c>
      <c r="M37" s="84"/>
      <c r="N37" s="99">
        <v>125</v>
      </c>
      <c r="O37" s="50">
        <f t="shared" si="3"/>
        <v>158625</v>
      </c>
      <c r="P37" s="50">
        <f t="shared" si="4"/>
        <v>158625</v>
      </c>
      <c r="Q37" s="43"/>
      <c r="R37" s="44"/>
      <c r="S37" s="13"/>
      <c r="T37" s="13"/>
      <c r="U37" s="13"/>
      <c r="V37" s="84"/>
    </row>
    <row r="38" spans="1:22" ht="7.95" customHeight="1">
      <c r="A38" s="10">
        <v>33</v>
      </c>
      <c r="B38" s="133"/>
      <c r="C38" s="17" t="s">
        <v>43</v>
      </c>
      <c r="D38" s="15">
        <v>0</v>
      </c>
      <c r="E38" s="15"/>
      <c r="F38" s="15"/>
      <c r="G38" s="15">
        <f t="shared" si="0"/>
        <v>0</v>
      </c>
      <c r="H38" s="16"/>
      <c r="I38" s="16"/>
      <c r="J38" s="76">
        <f t="shared" si="1"/>
        <v>0</v>
      </c>
      <c r="K38" s="76">
        <v>25</v>
      </c>
      <c r="L38" s="76">
        <f t="shared" si="2"/>
        <v>25</v>
      </c>
      <c r="M38" s="84"/>
      <c r="N38" s="99">
        <v>165</v>
      </c>
      <c r="O38" s="50">
        <f t="shared" si="3"/>
        <v>4125</v>
      </c>
      <c r="P38" s="50">
        <f t="shared" si="4"/>
        <v>0</v>
      </c>
      <c r="Q38" s="43"/>
      <c r="R38" s="44"/>
      <c r="S38" s="13"/>
      <c r="T38" s="13"/>
      <c r="U38" s="13"/>
      <c r="V38" s="84">
        <f>24*25+23</f>
        <v>623</v>
      </c>
    </row>
    <row r="39" spans="1:22" ht="7.95" customHeight="1">
      <c r="A39" s="10">
        <v>34</v>
      </c>
      <c r="B39" s="133"/>
      <c r="C39" s="17" t="s">
        <v>44</v>
      </c>
      <c r="D39" s="15">
        <v>224</v>
      </c>
      <c r="E39" s="15"/>
      <c r="F39" s="15"/>
      <c r="G39" s="15">
        <f t="shared" si="0"/>
        <v>224</v>
      </c>
      <c r="H39" s="16"/>
      <c r="I39" s="16"/>
      <c r="J39" s="76">
        <f t="shared" si="1"/>
        <v>224</v>
      </c>
      <c r="K39" s="76">
        <v>-70</v>
      </c>
      <c r="L39" s="76">
        <f t="shared" si="2"/>
        <v>154</v>
      </c>
      <c r="M39" s="84"/>
      <c r="N39" s="99">
        <v>975</v>
      </c>
      <c r="O39" s="50">
        <f t="shared" si="3"/>
        <v>150150</v>
      </c>
      <c r="P39" s="50">
        <f t="shared" si="4"/>
        <v>218400</v>
      </c>
      <c r="Q39" s="43"/>
      <c r="R39" s="44"/>
      <c r="S39" s="13"/>
      <c r="T39" s="13"/>
      <c r="U39" s="13"/>
      <c r="V39" s="84">
        <f>15*25+6</f>
        <v>381</v>
      </c>
    </row>
    <row r="40" spans="1:22" ht="7.95" customHeight="1">
      <c r="A40" s="10">
        <v>35</v>
      </c>
      <c r="B40" s="133"/>
      <c r="C40" s="17" t="s">
        <v>45</v>
      </c>
      <c r="D40" s="15">
        <v>50</v>
      </c>
      <c r="E40" s="15"/>
      <c r="F40" s="15"/>
      <c r="G40" s="15">
        <f t="shared" si="0"/>
        <v>50</v>
      </c>
      <c r="H40" s="16"/>
      <c r="I40" s="16"/>
      <c r="J40" s="76">
        <f t="shared" si="1"/>
        <v>50</v>
      </c>
      <c r="K40" s="76">
        <v>120</v>
      </c>
      <c r="L40" s="76">
        <f t="shared" si="2"/>
        <v>170</v>
      </c>
      <c r="M40" s="84"/>
      <c r="N40" s="99">
        <v>275</v>
      </c>
      <c r="O40" s="50">
        <f t="shared" si="3"/>
        <v>46750</v>
      </c>
      <c r="P40" s="50">
        <f t="shared" si="4"/>
        <v>13750</v>
      </c>
      <c r="Q40" s="43"/>
      <c r="R40" s="44"/>
      <c r="S40" s="13"/>
      <c r="T40" s="13"/>
      <c r="U40" s="13"/>
      <c r="V40" s="84"/>
    </row>
    <row r="41" spans="1:22" ht="7.95" customHeight="1">
      <c r="A41" s="10">
        <v>36</v>
      </c>
      <c r="B41" s="133"/>
      <c r="C41" s="17" t="s">
        <v>46</v>
      </c>
      <c r="D41" s="15">
        <v>274</v>
      </c>
      <c r="E41" s="15"/>
      <c r="F41" s="15"/>
      <c r="G41" s="15">
        <f t="shared" si="0"/>
        <v>274</v>
      </c>
      <c r="H41" s="16">
        <v>14</v>
      </c>
      <c r="I41" s="16"/>
      <c r="J41" s="76">
        <f t="shared" si="1"/>
        <v>260</v>
      </c>
      <c r="K41" s="76">
        <v>500</v>
      </c>
      <c r="L41" s="76">
        <f t="shared" si="2"/>
        <v>760</v>
      </c>
      <c r="M41" s="84"/>
      <c r="N41" s="99">
        <v>125</v>
      </c>
      <c r="O41" s="50">
        <f t="shared" si="3"/>
        <v>95000</v>
      </c>
      <c r="P41" s="50">
        <f t="shared" si="4"/>
        <v>32500</v>
      </c>
      <c r="Q41" s="43"/>
      <c r="R41" s="44"/>
      <c r="S41" s="13"/>
      <c r="T41" s="13"/>
      <c r="U41" s="13"/>
      <c r="V41" s="84">
        <f>55*25+10</f>
        <v>1385</v>
      </c>
    </row>
    <row r="42" spans="1:22" ht="7.95" customHeight="1">
      <c r="A42" s="10">
        <v>37</v>
      </c>
      <c r="B42" s="133"/>
      <c r="C42" s="17" t="s">
        <v>47</v>
      </c>
      <c r="D42" s="15">
        <v>405</v>
      </c>
      <c r="E42" s="15"/>
      <c r="F42" s="15"/>
      <c r="G42" s="15">
        <f t="shared" si="0"/>
        <v>405</v>
      </c>
      <c r="H42" s="16"/>
      <c r="I42" s="16"/>
      <c r="J42" s="76">
        <f t="shared" si="1"/>
        <v>405</v>
      </c>
      <c r="K42" s="76">
        <v>11</v>
      </c>
      <c r="L42" s="76">
        <f t="shared" si="2"/>
        <v>416</v>
      </c>
      <c r="M42" s="84"/>
      <c r="N42" s="99">
        <v>82</v>
      </c>
      <c r="O42" s="50">
        <f t="shared" si="3"/>
        <v>34112</v>
      </c>
      <c r="P42" s="50">
        <f t="shared" si="4"/>
        <v>33210</v>
      </c>
      <c r="Q42" s="43"/>
      <c r="R42" s="44"/>
      <c r="S42" s="13"/>
      <c r="T42" s="13"/>
      <c r="U42" s="13"/>
      <c r="V42" s="84"/>
    </row>
    <row r="43" spans="1:22" ht="7.95" customHeight="1">
      <c r="A43" s="10">
        <v>38</v>
      </c>
      <c r="B43" s="133"/>
      <c r="C43" s="17" t="s">
        <v>81</v>
      </c>
      <c r="D43" s="15">
        <v>25</v>
      </c>
      <c r="E43" s="15"/>
      <c r="F43" s="15"/>
      <c r="G43" s="15">
        <f t="shared" si="0"/>
        <v>25</v>
      </c>
      <c r="H43" s="16"/>
      <c r="I43" s="16"/>
      <c r="J43" s="76">
        <f t="shared" si="1"/>
        <v>25</v>
      </c>
      <c r="K43" s="76">
        <v>0</v>
      </c>
      <c r="L43" s="76">
        <f t="shared" si="2"/>
        <v>25</v>
      </c>
      <c r="M43" s="84"/>
      <c r="N43" s="99"/>
      <c r="O43" s="50">
        <f t="shared" si="3"/>
        <v>0</v>
      </c>
      <c r="P43" s="50">
        <f t="shared" si="4"/>
        <v>0</v>
      </c>
      <c r="Q43" s="43"/>
      <c r="R43" s="44"/>
      <c r="S43" s="13"/>
      <c r="T43" s="13"/>
      <c r="U43" s="13"/>
      <c r="V43" s="84"/>
    </row>
    <row r="44" spans="1:22" ht="7.95" customHeight="1">
      <c r="A44" s="10">
        <v>39</v>
      </c>
      <c r="B44" s="133"/>
      <c r="C44" s="17" t="s">
        <v>48</v>
      </c>
      <c r="D44" s="15">
        <v>10714</v>
      </c>
      <c r="E44" s="15"/>
      <c r="F44" s="15"/>
      <c r="G44" s="15">
        <f t="shared" si="0"/>
        <v>10714</v>
      </c>
      <c r="H44" s="16">
        <v>60</v>
      </c>
      <c r="I44" s="16"/>
      <c r="J44" s="76">
        <f t="shared" si="1"/>
        <v>10654</v>
      </c>
      <c r="K44" s="76">
        <v>2200</v>
      </c>
      <c r="L44" s="76">
        <f t="shared" si="2"/>
        <v>12854</v>
      </c>
      <c r="M44" s="84"/>
      <c r="N44" s="99">
        <v>80</v>
      </c>
      <c r="O44" s="50">
        <f t="shared" si="3"/>
        <v>1028320</v>
      </c>
      <c r="P44" s="50">
        <f t="shared" si="4"/>
        <v>852320</v>
      </c>
      <c r="Q44" s="43"/>
      <c r="R44" s="93">
        <f>912*20</f>
        <v>18240</v>
      </c>
      <c r="S44" s="13"/>
      <c r="T44" s="13"/>
      <c r="U44" s="13"/>
      <c r="V44" s="84"/>
    </row>
    <row r="45" spans="1:22" ht="7.95" customHeight="1">
      <c r="A45" s="10">
        <v>40</v>
      </c>
      <c r="B45" s="133"/>
      <c r="C45" s="17" t="s">
        <v>49</v>
      </c>
      <c r="D45" s="15">
        <v>500</v>
      </c>
      <c r="E45" s="15"/>
      <c r="F45" s="15"/>
      <c r="G45" s="15">
        <f t="shared" si="0"/>
        <v>500</v>
      </c>
      <c r="H45" s="16"/>
      <c r="I45" s="16"/>
      <c r="J45" s="76">
        <f t="shared" si="1"/>
        <v>500</v>
      </c>
      <c r="K45" s="76">
        <v>-100</v>
      </c>
      <c r="L45" s="76">
        <f t="shared" si="2"/>
        <v>400</v>
      </c>
      <c r="M45" s="84"/>
      <c r="N45" s="99">
        <v>500</v>
      </c>
      <c r="O45" s="50">
        <f t="shared" si="3"/>
        <v>200000</v>
      </c>
      <c r="P45" s="50">
        <f t="shared" si="4"/>
        <v>250000</v>
      </c>
      <c r="Q45" s="43"/>
      <c r="R45" s="44"/>
      <c r="S45" s="13"/>
      <c r="T45" s="13"/>
      <c r="U45" s="13"/>
      <c r="V45" s="84"/>
    </row>
    <row r="46" spans="1:22" ht="7.95" customHeight="1">
      <c r="A46" s="10">
        <v>41</v>
      </c>
      <c r="B46" s="133"/>
      <c r="C46" s="17" t="s">
        <v>50</v>
      </c>
      <c r="D46" s="15">
        <v>16738</v>
      </c>
      <c r="E46" s="15"/>
      <c r="F46" s="15"/>
      <c r="G46" s="15">
        <f t="shared" si="0"/>
        <v>16738</v>
      </c>
      <c r="H46" s="16">
        <v>71</v>
      </c>
      <c r="I46" s="16"/>
      <c r="J46" s="76">
        <f t="shared" si="1"/>
        <v>16667</v>
      </c>
      <c r="K46" s="76">
        <v>-180</v>
      </c>
      <c r="L46" s="76">
        <f t="shared" si="2"/>
        <v>16487</v>
      </c>
      <c r="M46" s="84"/>
      <c r="N46" s="99">
        <v>275</v>
      </c>
      <c r="O46" s="50">
        <f t="shared" si="3"/>
        <v>4533925</v>
      </c>
      <c r="P46" s="50">
        <f t="shared" si="4"/>
        <v>4583425</v>
      </c>
      <c r="Q46" s="43"/>
      <c r="R46" s="44"/>
      <c r="S46" s="13"/>
      <c r="T46" s="13"/>
      <c r="U46" s="13"/>
      <c r="V46" s="84"/>
    </row>
    <row r="47" spans="1:22" ht="7.95" customHeight="1">
      <c r="A47" s="10">
        <v>42</v>
      </c>
      <c r="B47" s="133"/>
      <c r="C47" s="17" t="s">
        <v>98</v>
      </c>
      <c r="D47" s="15">
        <v>-36</v>
      </c>
      <c r="E47" s="15"/>
      <c r="F47" s="15"/>
      <c r="G47" s="15">
        <f t="shared" si="0"/>
        <v>-36</v>
      </c>
      <c r="H47" s="15"/>
      <c r="I47" s="16"/>
      <c r="J47" s="76">
        <f t="shared" si="1"/>
        <v>-36</v>
      </c>
      <c r="K47" s="76">
        <v>200</v>
      </c>
      <c r="L47" s="76">
        <f t="shared" si="2"/>
        <v>164</v>
      </c>
      <c r="M47" s="84"/>
      <c r="N47" s="99">
        <v>250</v>
      </c>
      <c r="O47" s="50">
        <f t="shared" si="3"/>
        <v>41000</v>
      </c>
      <c r="P47" s="50">
        <f t="shared" si="4"/>
        <v>-9000</v>
      </c>
      <c r="Q47" s="43"/>
      <c r="R47" s="44"/>
      <c r="S47" s="13"/>
      <c r="T47" s="13"/>
      <c r="U47" s="13"/>
      <c r="V47" s="84">
        <f>47*25+24</f>
        <v>1199</v>
      </c>
    </row>
    <row r="48" spans="1:22" ht="7.95" customHeight="1">
      <c r="A48" s="10">
        <v>43</v>
      </c>
      <c r="B48" s="133"/>
      <c r="C48" s="37" t="s">
        <v>99</v>
      </c>
      <c r="D48" s="15">
        <v>580</v>
      </c>
      <c r="E48" s="15"/>
      <c r="F48" s="15"/>
      <c r="G48" s="15">
        <f t="shared" si="0"/>
        <v>580</v>
      </c>
      <c r="H48" s="15"/>
      <c r="I48" s="16"/>
      <c r="J48" s="76">
        <f t="shared" si="1"/>
        <v>580</v>
      </c>
      <c r="K48" s="76">
        <v>250</v>
      </c>
      <c r="L48" s="76">
        <f t="shared" si="2"/>
        <v>830</v>
      </c>
      <c r="M48" s="84"/>
      <c r="N48" s="99">
        <v>420</v>
      </c>
      <c r="O48" s="50">
        <f t="shared" si="3"/>
        <v>348600</v>
      </c>
      <c r="P48" s="50">
        <f t="shared" si="4"/>
        <v>243600</v>
      </c>
      <c r="Q48" s="43"/>
      <c r="R48" s="44"/>
      <c r="S48" s="13"/>
      <c r="T48" s="13"/>
      <c r="U48" s="13"/>
      <c r="V48" s="84">
        <f>8*25+8</f>
        <v>208</v>
      </c>
    </row>
    <row r="49" spans="1:22" ht="7.95" customHeight="1">
      <c r="A49" s="10">
        <v>44</v>
      </c>
      <c r="B49" s="133"/>
      <c r="C49" s="17" t="s">
        <v>100</v>
      </c>
      <c r="D49" s="15">
        <v>143</v>
      </c>
      <c r="E49" s="15"/>
      <c r="F49" s="15"/>
      <c r="G49" s="15">
        <f t="shared" si="0"/>
        <v>143</v>
      </c>
      <c r="H49" s="15">
        <v>52</v>
      </c>
      <c r="I49" s="16"/>
      <c r="J49" s="76">
        <f t="shared" si="1"/>
        <v>91</v>
      </c>
      <c r="K49" s="76">
        <v>0</v>
      </c>
      <c r="L49" s="76">
        <f t="shared" si="2"/>
        <v>91</v>
      </c>
      <c r="M49" s="84"/>
      <c r="N49" s="99">
        <v>800</v>
      </c>
      <c r="O49" s="50">
        <f t="shared" si="3"/>
        <v>72800</v>
      </c>
      <c r="P49" s="50">
        <f t="shared" si="4"/>
        <v>72800</v>
      </c>
      <c r="Q49" s="43"/>
      <c r="R49" s="44"/>
      <c r="V49" s="84">
        <v>156</v>
      </c>
    </row>
    <row r="50" spans="1:22" ht="7.95" customHeight="1">
      <c r="A50" s="10">
        <v>45</v>
      </c>
      <c r="B50" s="133"/>
      <c r="C50" s="17" t="s">
        <v>101</v>
      </c>
      <c r="D50" s="15">
        <v>0</v>
      </c>
      <c r="E50" s="15"/>
      <c r="F50" s="15"/>
      <c r="G50" s="15">
        <f t="shared" si="0"/>
        <v>0</v>
      </c>
      <c r="H50" s="15"/>
      <c r="I50" s="16"/>
      <c r="J50" s="76">
        <f t="shared" si="1"/>
        <v>0</v>
      </c>
      <c r="K50" s="76">
        <v>235</v>
      </c>
      <c r="L50" s="76">
        <f t="shared" si="2"/>
        <v>235</v>
      </c>
      <c r="M50" s="84"/>
      <c r="N50" s="99">
        <v>250</v>
      </c>
      <c r="O50" s="50">
        <f t="shared" si="3"/>
        <v>58750</v>
      </c>
      <c r="P50" s="50">
        <f t="shared" si="4"/>
        <v>0</v>
      </c>
      <c r="Q50" s="43"/>
      <c r="R50" s="44"/>
      <c r="S50" s="39"/>
      <c r="T50" s="39"/>
      <c r="V50" s="84">
        <v>235</v>
      </c>
    </row>
    <row r="51" spans="1:22" ht="7.95" customHeight="1">
      <c r="A51" s="10">
        <v>46</v>
      </c>
      <c r="B51" s="133"/>
      <c r="C51" s="17" t="s">
        <v>91</v>
      </c>
      <c r="D51" s="15">
        <v>370</v>
      </c>
      <c r="E51" s="15"/>
      <c r="F51" s="15"/>
      <c r="G51" s="15">
        <f t="shared" si="0"/>
        <v>370</v>
      </c>
      <c r="H51" s="15"/>
      <c r="I51" s="16"/>
      <c r="J51" s="76">
        <f t="shared" si="1"/>
        <v>370</v>
      </c>
      <c r="K51" s="76">
        <v>-150</v>
      </c>
      <c r="L51" s="76">
        <f t="shared" si="2"/>
        <v>220</v>
      </c>
      <c r="M51" s="84"/>
      <c r="N51" s="99">
        <v>380</v>
      </c>
      <c r="O51" s="50">
        <f t="shared" si="3"/>
        <v>83600</v>
      </c>
      <c r="P51" s="50">
        <f t="shared" si="4"/>
        <v>140600</v>
      </c>
      <c r="Q51" s="43"/>
      <c r="R51" s="44"/>
      <c r="V51" s="84">
        <f>33*25+5</f>
        <v>830</v>
      </c>
    </row>
    <row r="52" spans="1:22" ht="7.95" customHeight="1">
      <c r="A52" s="10">
        <v>47</v>
      </c>
      <c r="B52" s="133"/>
      <c r="C52" s="17" t="s">
        <v>51</v>
      </c>
      <c r="D52" s="15">
        <v>5</v>
      </c>
      <c r="E52" s="15"/>
      <c r="F52" s="15"/>
      <c r="G52" s="15">
        <f t="shared" si="0"/>
        <v>5</v>
      </c>
      <c r="H52" s="15"/>
      <c r="I52" s="16"/>
      <c r="J52" s="76">
        <f t="shared" si="1"/>
        <v>5</v>
      </c>
      <c r="K52" s="76">
        <v>0</v>
      </c>
      <c r="L52" s="76">
        <f t="shared" si="2"/>
        <v>5</v>
      </c>
      <c r="M52" s="84"/>
      <c r="N52" s="99">
        <v>600</v>
      </c>
      <c r="O52" s="50">
        <f t="shared" si="3"/>
        <v>3000</v>
      </c>
      <c r="P52" s="50">
        <f t="shared" si="4"/>
        <v>3000</v>
      </c>
      <c r="Q52" s="43"/>
      <c r="R52" s="44"/>
      <c r="V52" s="84"/>
    </row>
    <row r="53" spans="1:22" ht="7.95" customHeight="1">
      <c r="A53" s="10">
        <v>48</v>
      </c>
      <c r="B53" s="133"/>
      <c r="C53" s="17" t="s">
        <v>92</v>
      </c>
      <c r="D53" s="15">
        <v>96</v>
      </c>
      <c r="E53" s="15"/>
      <c r="F53" s="15"/>
      <c r="G53" s="15">
        <f t="shared" si="0"/>
        <v>96</v>
      </c>
      <c r="H53" s="15">
        <v>2</v>
      </c>
      <c r="I53" s="20"/>
      <c r="J53" s="76">
        <f t="shared" si="1"/>
        <v>94</v>
      </c>
      <c r="K53" s="76">
        <v>0</v>
      </c>
      <c r="L53" s="76">
        <f t="shared" si="2"/>
        <v>94</v>
      </c>
      <c r="M53" s="84"/>
      <c r="N53" s="99">
        <v>1600</v>
      </c>
      <c r="O53" s="50">
        <f t="shared" si="3"/>
        <v>150400</v>
      </c>
      <c r="P53" s="50">
        <f t="shared" si="4"/>
        <v>150400</v>
      </c>
      <c r="Q53" s="43"/>
      <c r="R53" s="44"/>
      <c r="V53" s="84"/>
    </row>
    <row r="54" spans="1:22" ht="7.95" customHeight="1">
      <c r="A54" s="10">
        <v>49</v>
      </c>
      <c r="B54" s="133"/>
      <c r="C54" s="17" t="s">
        <v>125</v>
      </c>
      <c r="D54" s="15">
        <v>758</v>
      </c>
      <c r="E54" s="15"/>
      <c r="F54" s="15"/>
      <c r="G54" s="15">
        <f t="shared" si="0"/>
        <v>758</v>
      </c>
      <c r="H54" s="15">
        <v>1</v>
      </c>
      <c r="I54" s="16"/>
      <c r="J54" s="76">
        <f t="shared" si="1"/>
        <v>757</v>
      </c>
      <c r="K54" s="76">
        <v>-350</v>
      </c>
      <c r="L54" s="76">
        <f t="shared" si="2"/>
        <v>407</v>
      </c>
      <c r="M54" s="84"/>
      <c r="N54" s="99">
        <v>375</v>
      </c>
      <c r="O54" s="50">
        <f t="shared" si="3"/>
        <v>152625</v>
      </c>
      <c r="P54" s="50">
        <f t="shared" si="4"/>
        <v>283875</v>
      </c>
      <c r="Q54" s="43"/>
      <c r="R54" s="44"/>
      <c r="V54" s="84"/>
    </row>
    <row r="55" spans="1:22" ht="7.95" customHeight="1">
      <c r="A55" s="10">
        <v>50</v>
      </c>
      <c r="B55" s="133"/>
      <c r="C55" s="37" t="s">
        <v>97</v>
      </c>
      <c r="D55" s="15">
        <v>143</v>
      </c>
      <c r="E55" s="15"/>
      <c r="F55" s="15"/>
      <c r="G55" s="15">
        <f t="shared" si="0"/>
        <v>143</v>
      </c>
      <c r="H55" s="15">
        <v>4</v>
      </c>
      <c r="I55" s="21"/>
      <c r="J55" s="76">
        <f t="shared" si="1"/>
        <v>139</v>
      </c>
      <c r="K55" s="76">
        <v>9</v>
      </c>
      <c r="L55" s="76">
        <f t="shared" si="2"/>
        <v>148</v>
      </c>
      <c r="M55" s="30"/>
      <c r="N55" s="99">
        <v>425</v>
      </c>
      <c r="O55" s="50">
        <f t="shared" si="3"/>
        <v>62900</v>
      </c>
      <c r="P55" s="50">
        <f t="shared" si="4"/>
        <v>59075</v>
      </c>
      <c r="Q55" s="43"/>
      <c r="R55" s="44"/>
      <c r="V55" s="84"/>
    </row>
    <row r="56" spans="1:22" ht="7.95" customHeight="1">
      <c r="A56" s="10">
        <v>51</v>
      </c>
      <c r="B56" s="133"/>
      <c r="C56" s="17" t="s">
        <v>52</v>
      </c>
      <c r="D56" s="15">
        <v>206</v>
      </c>
      <c r="E56" s="15"/>
      <c r="F56" s="15"/>
      <c r="G56" s="15">
        <f t="shared" si="0"/>
        <v>206</v>
      </c>
      <c r="H56" s="15">
        <v>12</v>
      </c>
      <c r="I56" s="22"/>
      <c r="J56" s="76">
        <f t="shared" si="1"/>
        <v>194</v>
      </c>
      <c r="K56" s="76">
        <v>-200</v>
      </c>
      <c r="L56" s="76">
        <f t="shared" si="2"/>
        <v>-6</v>
      </c>
      <c r="M56" s="84"/>
      <c r="N56" s="99">
        <v>390</v>
      </c>
      <c r="O56" s="50">
        <f t="shared" si="3"/>
        <v>-2340</v>
      </c>
      <c r="P56" s="50">
        <f t="shared" si="4"/>
        <v>75660</v>
      </c>
      <c r="Q56" s="43"/>
      <c r="R56" s="44"/>
      <c r="V56" s="84">
        <f>18*25</f>
        <v>450</v>
      </c>
    </row>
    <row r="57" spans="1:22" ht="7.95" customHeight="1">
      <c r="A57" s="10">
        <v>52</v>
      </c>
      <c r="B57" s="133"/>
      <c r="C57" s="24" t="s">
        <v>71</v>
      </c>
      <c r="D57" s="15">
        <v>230</v>
      </c>
      <c r="E57" s="15"/>
      <c r="F57" s="15"/>
      <c r="G57" s="15">
        <f t="shared" si="0"/>
        <v>230</v>
      </c>
      <c r="H57" s="15"/>
      <c r="I57" s="22"/>
      <c r="J57" s="76">
        <f t="shared" si="1"/>
        <v>230</v>
      </c>
      <c r="K57" s="76">
        <v>136</v>
      </c>
      <c r="L57" s="76">
        <f t="shared" si="2"/>
        <v>366</v>
      </c>
      <c r="M57" s="84"/>
      <c r="N57" s="99">
        <v>500</v>
      </c>
      <c r="O57" s="50">
        <f t="shared" si="3"/>
        <v>183000</v>
      </c>
      <c r="P57" s="50">
        <f t="shared" si="4"/>
        <v>115000</v>
      </c>
      <c r="Q57" s="43"/>
      <c r="R57" s="44"/>
      <c r="V57" s="84">
        <f>515.2</f>
        <v>515.20000000000005</v>
      </c>
    </row>
    <row r="58" spans="1:22" ht="7.95" customHeight="1">
      <c r="A58" s="10">
        <v>53</v>
      </c>
      <c r="B58" s="133"/>
      <c r="C58" s="17" t="s">
        <v>53</v>
      </c>
      <c r="D58" s="15">
        <v>65</v>
      </c>
      <c r="E58" s="15"/>
      <c r="F58" s="15"/>
      <c r="G58" s="15">
        <f t="shared" si="0"/>
        <v>65</v>
      </c>
      <c r="H58" s="15">
        <v>13</v>
      </c>
      <c r="I58" s="16"/>
      <c r="J58" s="76">
        <f t="shared" si="1"/>
        <v>52</v>
      </c>
      <c r="K58" s="76">
        <v>0</v>
      </c>
      <c r="L58" s="76">
        <f t="shared" si="2"/>
        <v>52</v>
      </c>
      <c r="M58" s="30"/>
      <c r="N58" s="99">
        <v>132</v>
      </c>
      <c r="O58" s="50">
        <f t="shared" si="3"/>
        <v>6864</v>
      </c>
      <c r="P58" s="50">
        <f t="shared" si="4"/>
        <v>6864</v>
      </c>
      <c r="Q58" s="43"/>
      <c r="R58" s="93">
        <f>90*25</f>
        <v>2250</v>
      </c>
      <c r="V58" s="84"/>
    </row>
    <row r="59" spans="1:22" ht="7.95" customHeight="1">
      <c r="A59" s="10">
        <v>54</v>
      </c>
      <c r="B59" s="133"/>
      <c r="C59" s="17" t="s">
        <v>54</v>
      </c>
      <c r="D59" s="15">
        <v>311</v>
      </c>
      <c r="E59" s="15"/>
      <c r="F59" s="15"/>
      <c r="G59" s="15">
        <f t="shared" si="0"/>
        <v>311</v>
      </c>
      <c r="H59" s="15">
        <v>12</v>
      </c>
      <c r="I59" s="16"/>
      <c r="J59" s="76">
        <f t="shared" si="1"/>
        <v>299</v>
      </c>
      <c r="K59" s="76">
        <v>0</v>
      </c>
      <c r="L59" s="76">
        <f t="shared" si="2"/>
        <v>299</v>
      </c>
      <c r="M59" s="84"/>
      <c r="N59" s="99">
        <v>570</v>
      </c>
      <c r="O59" s="50">
        <f t="shared" si="3"/>
        <v>170430</v>
      </c>
      <c r="P59" s="50">
        <f t="shared" si="4"/>
        <v>170430</v>
      </c>
      <c r="Q59" s="43"/>
      <c r="R59" s="44"/>
      <c r="V59" s="84">
        <v>150.69999999999999</v>
      </c>
    </row>
    <row r="60" spans="1:22" ht="7.95" customHeight="1">
      <c r="A60" s="10">
        <v>55</v>
      </c>
      <c r="B60" s="133"/>
      <c r="C60" s="17" t="s">
        <v>102</v>
      </c>
      <c r="D60" s="15">
        <v>0</v>
      </c>
      <c r="E60" s="15"/>
      <c r="F60" s="15"/>
      <c r="G60" s="15">
        <f t="shared" si="0"/>
        <v>0</v>
      </c>
      <c r="H60" s="15"/>
      <c r="I60" s="16"/>
      <c r="J60" s="76">
        <f t="shared" si="1"/>
        <v>0</v>
      </c>
      <c r="K60" s="76">
        <v>15</v>
      </c>
      <c r="L60" s="76">
        <f t="shared" si="2"/>
        <v>15</v>
      </c>
      <c r="M60" s="84"/>
      <c r="N60" s="99">
        <v>950</v>
      </c>
      <c r="O60" s="50">
        <f t="shared" si="3"/>
        <v>14250</v>
      </c>
      <c r="P60" s="50">
        <f t="shared" si="4"/>
        <v>0</v>
      </c>
      <c r="Q60" s="43"/>
      <c r="R60" s="44"/>
      <c r="V60" s="84">
        <f>29*25+14</f>
        <v>739</v>
      </c>
    </row>
    <row r="61" spans="1:22" ht="7.95" customHeight="1">
      <c r="A61" s="10">
        <v>56</v>
      </c>
      <c r="B61" s="133"/>
      <c r="C61" s="17" t="s">
        <v>95</v>
      </c>
      <c r="D61" s="15">
        <v>3.8149999999999977</v>
      </c>
      <c r="E61" s="15"/>
      <c r="F61" s="15"/>
      <c r="G61" s="15">
        <f t="shared" si="0"/>
        <v>3.8149999999999977</v>
      </c>
      <c r="H61" s="16"/>
      <c r="I61" s="16"/>
      <c r="J61" s="76">
        <f t="shared" si="1"/>
        <v>3.8149999999999977</v>
      </c>
      <c r="K61" s="76">
        <v>70</v>
      </c>
      <c r="L61" s="76">
        <f t="shared" si="2"/>
        <v>73.814999999999998</v>
      </c>
      <c r="M61" s="84"/>
      <c r="N61" s="99">
        <v>290</v>
      </c>
      <c r="O61" s="50">
        <f t="shared" si="3"/>
        <v>21406.35</v>
      </c>
      <c r="P61" s="50">
        <f t="shared" si="4"/>
        <v>1106.3499999999995</v>
      </c>
      <c r="Q61" s="43"/>
      <c r="R61" s="43"/>
      <c r="V61" s="84"/>
    </row>
    <row r="62" spans="1:22" ht="7.95" customHeight="1">
      <c r="A62" s="10">
        <v>57</v>
      </c>
      <c r="B62" s="133"/>
      <c r="C62" s="17" t="s">
        <v>55</v>
      </c>
      <c r="D62" s="15">
        <v>16651</v>
      </c>
      <c r="E62" s="15"/>
      <c r="F62" s="15"/>
      <c r="G62" s="15">
        <f t="shared" si="0"/>
        <v>16651</v>
      </c>
      <c r="H62" s="15">
        <v>97</v>
      </c>
      <c r="I62" s="16"/>
      <c r="J62" s="76">
        <f t="shared" si="1"/>
        <v>16554</v>
      </c>
      <c r="K62" s="76">
        <v>187</v>
      </c>
      <c r="L62" s="76">
        <f t="shared" si="2"/>
        <v>16741</v>
      </c>
      <c r="M62" s="30"/>
      <c r="N62" s="99">
        <v>87.38</v>
      </c>
      <c r="O62" s="50">
        <f t="shared" si="3"/>
        <v>1462828.5799999998</v>
      </c>
      <c r="P62" s="50">
        <f t="shared" si="4"/>
        <v>1446488.52</v>
      </c>
      <c r="Q62" s="43"/>
      <c r="R62" s="43">
        <f>846*25</f>
        <v>21150</v>
      </c>
      <c r="S62" s="13"/>
      <c r="V62" s="84"/>
    </row>
    <row r="63" spans="1:22" ht="7.95" customHeight="1">
      <c r="A63" s="10">
        <v>58</v>
      </c>
      <c r="B63" s="133"/>
      <c r="C63" s="17" t="s">
        <v>56</v>
      </c>
      <c r="D63" s="15">
        <v>25</v>
      </c>
      <c r="E63" s="15"/>
      <c r="F63" s="15"/>
      <c r="G63" s="15">
        <f t="shared" si="0"/>
        <v>25</v>
      </c>
      <c r="H63" s="15">
        <v>3</v>
      </c>
      <c r="I63" s="16"/>
      <c r="J63" s="76">
        <f t="shared" si="1"/>
        <v>22</v>
      </c>
      <c r="K63" s="76">
        <v>300</v>
      </c>
      <c r="L63" s="76">
        <f t="shared" si="2"/>
        <v>322</v>
      </c>
      <c r="M63" s="84"/>
      <c r="N63" s="99">
        <v>290</v>
      </c>
      <c r="O63" s="50">
        <f t="shared" si="3"/>
        <v>93380</v>
      </c>
      <c r="P63" s="50">
        <f t="shared" si="4"/>
        <v>6380</v>
      </c>
      <c r="Q63" s="43"/>
      <c r="R63" s="43"/>
      <c r="S63" s="13"/>
      <c r="V63" s="84">
        <f>13*25+18</f>
        <v>343</v>
      </c>
    </row>
    <row r="64" spans="1:22" ht="7.95" customHeight="1">
      <c r="A64" s="10">
        <v>59</v>
      </c>
      <c r="B64" s="133"/>
      <c r="C64" s="17" t="s">
        <v>57</v>
      </c>
      <c r="D64" s="23">
        <v>344</v>
      </c>
      <c r="E64" s="23"/>
      <c r="F64" s="23"/>
      <c r="G64" s="23">
        <f t="shared" si="0"/>
        <v>344</v>
      </c>
      <c r="H64" s="23">
        <v>65</v>
      </c>
      <c r="I64" s="23"/>
      <c r="J64" s="76">
        <f t="shared" si="1"/>
        <v>279</v>
      </c>
      <c r="K64" s="79">
        <v>100</v>
      </c>
      <c r="L64" s="76">
        <f t="shared" si="2"/>
        <v>379</v>
      </c>
      <c r="M64" s="30"/>
      <c r="N64" s="99">
        <v>70</v>
      </c>
      <c r="O64" s="50">
        <f t="shared" si="3"/>
        <v>26530</v>
      </c>
      <c r="P64" s="50">
        <f t="shared" si="4"/>
        <v>19530</v>
      </c>
      <c r="Q64" s="43"/>
      <c r="R64" s="43"/>
      <c r="S64" s="13"/>
      <c r="V64" s="86">
        <f>18*25</f>
        <v>450</v>
      </c>
    </row>
    <row r="65" spans="1:22" ht="7.95" customHeight="1">
      <c r="A65" s="10">
        <v>60</v>
      </c>
      <c r="B65" s="133"/>
      <c r="C65" s="17" t="s">
        <v>58</v>
      </c>
      <c r="D65" s="16">
        <v>556</v>
      </c>
      <c r="E65" s="24"/>
      <c r="F65" s="24"/>
      <c r="G65" s="16">
        <f t="shared" si="0"/>
        <v>556</v>
      </c>
      <c r="H65" s="24">
        <v>70</v>
      </c>
      <c r="I65" s="24"/>
      <c r="J65" s="76">
        <f t="shared" si="1"/>
        <v>486</v>
      </c>
      <c r="K65" s="80">
        <v>-480</v>
      </c>
      <c r="L65" s="76">
        <f t="shared" si="2"/>
        <v>6</v>
      </c>
      <c r="M65" s="86"/>
      <c r="N65" s="99">
        <v>240</v>
      </c>
      <c r="O65" s="50">
        <f t="shared" si="3"/>
        <v>1440</v>
      </c>
      <c r="P65" s="50">
        <f t="shared" si="4"/>
        <v>116640</v>
      </c>
      <c r="Q65" s="43"/>
      <c r="R65" s="43"/>
      <c r="S65" s="13"/>
      <c r="V65" s="86"/>
    </row>
    <row r="66" spans="1:22" ht="7.95" customHeight="1">
      <c r="A66" s="10">
        <v>61</v>
      </c>
      <c r="B66" s="133"/>
      <c r="C66" s="17" t="s">
        <v>131</v>
      </c>
      <c r="D66" s="16">
        <v>372</v>
      </c>
      <c r="E66" s="24"/>
      <c r="F66" s="24"/>
      <c r="G66" s="16">
        <f t="shared" si="0"/>
        <v>372</v>
      </c>
      <c r="H66" s="24">
        <v>4</v>
      </c>
      <c r="I66" s="24"/>
      <c r="J66" s="76">
        <f t="shared" si="1"/>
        <v>368</v>
      </c>
      <c r="K66" s="81">
        <v>0</v>
      </c>
      <c r="L66" s="81">
        <f t="shared" si="2"/>
        <v>368</v>
      </c>
      <c r="M66" s="86"/>
      <c r="N66" s="99">
        <v>1100</v>
      </c>
      <c r="O66" s="50">
        <f t="shared" si="3"/>
        <v>404800</v>
      </c>
      <c r="P66" s="50">
        <f t="shared" si="4"/>
        <v>404800</v>
      </c>
      <c r="Q66" s="43"/>
      <c r="R66" s="43"/>
      <c r="S66" s="13"/>
      <c r="V66" s="86"/>
    </row>
    <row r="67" spans="1:22" ht="7.95" customHeight="1">
      <c r="A67" s="10">
        <v>62</v>
      </c>
      <c r="B67" s="133"/>
      <c r="C67" s="17" t="s">
        <v>59</v>
      </c>
      <c r="D67" s="16">
        <v>-141</v>
      </c>
      <c r="E67" s="24"/>
      <c r="F67" s="24"/>
      <c r="G67" s="16">
        <f t="shared" si="0"/>
        <v>-141</v>
      </c>
      <c r="H67" s="24">
        <v>479</v>
      </c>
      <c r="I67" s="24"/>
      <c r="J67" s="76">
        <f t="shared" si="1"/>
        <v>-620</v>
      </c>
      <c r="K67" s="80">
        <v>1000</v>
      </c>
      <c r="L67" s="76">
        <f t="shared" si="2"/>
        <v>380</v>
      </c>
      <c r="M67" s="84"/>
      <c r="N67" s="99">
        <v>53</v>
      </c>
      <c r="O67" s="50">
        <f t="shared" si="3"/>
        <v>20140</v>
      </c>
      <c r="P67" s="50">
        <f t="shared" si="4"/>
        <v>-32860</v>
      </c>
      <c r="Q67" s="43"/>
      <c r="R67" s="43"/>
      <c r="S67" s="13"/>
      <c r="V67" s="84"/>
    </row>
    <row r="68" spans="1:22" ht="7.95" customHeight="1">
      <c r="A68" s="10">
        <v>63</v>
      </c>
      <c r="B68" s="133"/>
      <c r="C68" s="17" t="s">
        <v>12</v>
      </c>
      <c r="D68" s="16">
        <v>549</v>
      </c>
      <c r="E68" s="24"/>
      <c r="F68" s="24"/>
      <c r="G68" s="16">
        <f t="shared" si="0"/>
        <v>549</v>
      </c>
      <c r="H68" s="24"/>
      <c r="I68" s="40"/>
      <c r="J68" s="76">
        <f t="shared" si="1"/>
        <v>549</v>
      </c>
      <c r="K68" s="80">
        <v>10</v>
      </c>
      <c r="L68" s="76">
        <f t="shared" si="2"/>
        <v>559</v>
      </c>
      <c r="M68" s="84"/>
      <c r="N68" s="99">
        <v>120</v>
      </c>
      <c r="O68" s="50">
        <f t="shared" si="3"/>
        <v>67080</v>
      </c>
      <c r="P68" s="50">
        <f t="shared" si="4"/>
        <v>65880</v>
      </c>
      <c r="Q68" s="43"/>
      <c r="R68" s="43"/>
      <c r="S68" s="13"/>
      <c r="V68" s="84">
        <f>32*20</f>
        <v>640</v>
      </c>
    </row>
    <row r="69" spans="1:22" ht="7.95" customHeight="1">
      <c r="A69" s="10">
        <v>64</v>
      </c>
      <c r="B69" s="133"/>
      <c r="C69" s="17" t="s">
        <v>60</v>
      </c>
      <c r="D69" s="16">
        <v>0</v>
      </c>
      <c r="E69" s="24"/>
      <c r="F69" s="24"/>
      <c r="G69" s="16">
        <f t="shared" si="0"/>
        <v>0</v>
      </c>
      <c r="H69" s="24"/>
      <c r="I69" s="24"/>
      <c r="J69" s="76">
        <f t="shared" si="1"/>
        <v>0</v>
      </c>
      <c r="K69" s="80">
        <v>0</v>
      </c>
      <c r="L69" s="76">
        <f t="shared" si="2"/>
        <v>0</v>
      </c>
      <c r="M69" s="84"/>
      <c r="N69" s="99">
        <v>1700</v>
      </c>
      <c r="O69" s="50">
        <f t="shared" si="3"/>
        <v>0</v>
      </c>
      <c r="P69" s="50">
        <f t="shared" si="4"/>
        <v>0</v>
      </c>
      <c r="Q69" s="43"/>
      <c r="R69" s="43"/>
      <c r="S69" s="13"/>
      <c r="V69" s="84">
        <v>217</v>
      </c>
    </row>
    <row r="70" spans="1:22" ht="7.95" customHeight="1">
      <c r="A70" s="10">
        <v>65</v>
      </c>
      <c r="B70" s="133"/>
      <c r="C70" s="17" t="s">
        <v>61</v>
      </c>
      <c r="D70" s="16">
        <v>461</v>
      </c>
      <c r="E70" s="24"/>
      <c r="F70" s="24"/>
      <c r="G70" s="16">
        <f t="shared" si="0"/>
        <v>461</v>
      </c>
      <c r="H70" s="24">
        <v>2</v>
      </c>
      <c r="I70" s="24"/>
      <c r="J70" s="76">
        <f t="shared" si="1"/>
        <v>459</v>
      </c>
      <c r="K70" s="80">
        <v>-153</v>
      </c>
      <c r="L70" s="76">
        <f t="shared" si="2"/>
        <v>306</v>
      </c>
      <c r="M70" s="86"/>
      <c r="N70" s="99">
        <v>260</v>
      </c>
      <c r="O70" s="50">
        <f t="shared" si="3"/>
        <v>79560</v>
      </c>
      <c r="P70" s="50">
        <f t="shared" si="4"/>
        <v>119340</v>
      </c>
      <c r="Q70" s="43"/>
      <c r="R70" s="43"/>
      <c r="S70" s="13"/>
      <c r="V70" s="86"/>
    </row>
    <row r="71" spans="1:22" ht="7.95" customHeight="1">
      <c r="A71" s="10">
        <v>66</v>
      </c>
      <c r="B71" s="133"/>
      <c r="C71" s="26" t="s">
        <v>129</v>
      </c>
      <c r="D71" s="16">
        <v>221</v>
      </c>
      <c r="E71" s="24"/>
      <c r="F71" s="24"/>
      <c r="G71" s="16">
        <f t="shared" si="0"/>
        <v>221</v>
      </c>
      <c r="H71" s="24"/>
      <c r="I71" s="24"/>
      <c r="J71" s="76">
        <f t="shared" ref="J71:J83" si="5">G71-H71-I71</f>
        <v>221</v>
      </c>
      <c r="K71" s="80">
        <v>0</v>
      </c>
      <c r="L71" s="76">
        <f t="shared" si="2"/>
        <v>221</v>
      </c>
      <c r="M71" s="86"/>
      <c r="N71" s="99"/>
      <c r="O71" s="50">
        <f t="shared" ref="O71:O97" si="6">L71*N71</f>
        <v>0</v>
      </c>
      <c r="P71" s="50">
        <f t="shared" ref="P71:P97" si="7">J71*N71</f>
        <v>0</v>
      </c>
      <c r="Q71" s="43"/>
      <c r="R71" s="43"/>
      <c r="S71" s="13"/>
      <c r="V71" s="86"/>
    </row>
    <row r="72" spans="1:22" ht="7.95" customHeight="1">
      <c r="A72" s="10">
        <v>67</v>
      </c>
      <c r="B72" s="133"/>
      <c r="C72" s="14" t="s">
        <v>62</v>
      </c>
      <c r="D72" s="16">
        <v>4148</v>
      </c>
      <c r="E72" s="24"/>
      <c r="F72" s="24"/>
      <c r="G72" s="16">
        <f t="shared" si="0"/>
        <v>4148</v>
      </c>
      <c r="H72" s="24">
        <v>127</v>
      </c>
      <c r="I72" s="24"/>
      <c r="J72" s="76">
        <f t="shared" si="5"/>
        <v>4021</v>
      </c>
      <c r="K72" s="80">
        <v>-200</v>
      </c>
      <c r="L72" s="76">
        <f t="shared" si="2"/>
        <v>3821</v>
      </c>
      <c r="M72" s="30"/>
      <c r="N72" s="99">
        <v>39</v>
      </c>
      <c r="O72" s="50">
        <f t="shared" si="6"/>
        <v>149019</v>
      </c>
      <c r="P72" s="50">
        <f t="shared" si="7"/>
        <v>156819</v>
      </c>
      <c r="Q72" s="43"/>
      <c r="R72" s="43"/>
      <c r="S72" s="13"/>
      <c r="V72" s="86"/>
    </row>
    <row r="73" spans="1:22" ht="7.95" customHeight="1">
      <c r="A73" s="10">
        <v>68</v>
      </c>
      <c r="B73" s="133"/>
      <c r="C73" s="14" t="s">
        <v>24</v>
      </c>
      <c r="D73" s="16">
        <v>19307</v>
      </c>
      <c r="E73" s="24"/>
      <c r="F73" s="24"/>
      <c r="G73" s="16">
        <f t="shared" si="0"/>
        <v>19307</v>
      </c>
      <c r="H73" s="24">
        <v>60</v>
      </c>
      <c r="I73" s="42"/>
      <c r="J73" s="76">
        <f t="shared" si="5"/>
        <v>19247</v>
      </c>
      <c r="K73" s="80">
        <v>0</v>
      </c>
      <c r="L73" s="76">
        <f t="shared" si="2"/>
        <v>19247</v>
      </c>
      <c r="M73" s="84"/>
      <c r="N73" s="99">
        <v>83</v>
      </c>
      <c r="O73" s="50">
        <f t="shared" si="6"/>
        <v>1597501</v>
      </c>
      <c r="P73" s="50">
        <f t="shared" si="7"/>
        <v>1597501</v>
      </c>
      <c r="Q73" s="43"/>
      <c r="R73" s="43"/>
      <c r="S73" s="13"/>
      <c r="V73" s="84"/>
    </row>
    <row r="74" spans="1:22" ht="7.95" customHeight="1">
      <c r="A74" s="10">
        <v>69</v>
      </c>
      <c r="B74" s="133"/>
      <c r="C74" s="24" t="s">
        <v>63</v>
      </c>
      <c r="D74" s="16">
        <v>20</v>
      </c>
      <c r="E74" s="24"/>
      <c r="F74" s="24"/>
      <c r="G74" s="16">
        <f t="shared" si="0"/>
        <v>20</v>
      </c>
      <c r="H74" s="24"/>
      <c r="I74" s="24"/>
      <c r="J74" s="76">
        <f t="shared" si="5"/>
        <v>20</v>
      </c>
      <c r="K74" s="80">
        <v>0</v>
      </c>
      <c r="L74" s="76">
        <f t="shared" si="2"/>
        <v>20</v>
      </c>
      <c r="M74" s="86"/>
      <c r="N74" s="99">
        <v>450</v>
      </c>
      <c r="O74" s="50">
        <f t="shared" si="6"/>
        <v>9000</v>
      </c>
      <c r="P74" s="50">
        <f t="shared" si="7"/>
        <v>9000</v>
      </c>
      <c r="Q74" s="43"/>
      <c r="R74" s="43"/>
      <c r="S74" s="13"/>
      <c r="V74" s="86"/>
    </row>
    <row r="75" spans="1:22" ht="7.95" customHeight="1">
      <c r="A75" s="10">
        <v>70</v>
      </c>
      <c r="B75" s="133"/>
      <c r="C75" s="24" t="s">
        <v>25</v>
      </c>
      <c r="D75" s="16">
        <v>3287</v>
      </c>
      <c r="E75" s="24"/>
      <c r="F75" s="24"/>
      <c r="G75" s="16">
        <f t="shared" si="0"/>
        <v>3287</v>
      </c>
      <c r="H75" s="24">
        <v>399</v>
      </c>
      <c r="I75" s="24"/>
      <c r="J75" s="76">
        <f t="shared" si="5"/>
        <v>2888</v>
      </c>
      <c r="K75" s="80">
        <v>273</v>
      </c>
      <c r="L75" s="76">
        <f t="shared" si="2"/>
        <v>3161</v>
      </c>
      <c r="M75" s="86"/>
      <c r="N75" s="99">
        <v>16</v>
      </c>
      <c r="O75" s="50">
        <f t="shared" si="6"/>
        <v>50576</v>
      </c>
      <c r="P75" s="50">
        <f t="shared" si="7"/>
        <v>46208</v>
      </c>
      <c r="Q75" s="43"/>
      <c r="R75" s="43"/>
      <c r="S75" s="13"/>
      <c r="V75" s="86"/>
    </row>
    <row r="76" spans="1:22" ht="7.95" customHeight="1">
      <c r="A76" s="10">
        <v>71</v>
      </c>
      <c r="B76" s="133"/>
      <c r="C76" s="24" t="s">
        <v>85</v>
      </c>
      <c r="D76" s="16">
        <v>449</v>
      </c>
      <c r="E76" s="24"/>
      <c r="F76" s="24"/>
      <c r="G76" s="16">
        <f t="shared" si="0"/>
        <v>449</v>
      </c>
      <c r="H76" s="24">
        <v>11</v>
      </c>
      <c r="I76" s="24"/>
      <c r="J76" s="76">
        <f t="shared" si="5"/>
        <v>438</v>
      </c>
      <c r="K76" s="80">
        <v>-250</v>
      </c>
      <c r="L76" s="76">
        <f t="shared" si="2"/>
        <v>188</v>
      </c>
      <c r="M76" s="30"/>
      <c r="N76" s="99">
        <v>400</v>
      </c>
      <c r="O76" s="50">
        <f t="shared" si="6"/>
        <v>75200</v>
      </c>
      <c r="P76" s="50">
        <f t="shared" si="7"/>
        <v>175200</v>
      </c>
      <c r="Q76" s="43"/>
      <c r="R76" s="43"/>
      <c r="S76" s="13"/>
      <c r="V76" s="84">
        <f>19*20+3</f>
        <v>383</v>
      </c>
    </row>
    <row r="77" spans="1:22" ht="7.95" customHeight="1">
      <c r="A77" s="10">
        <v>72</v>
      </c>
      <c r="B77" s="133"/>
      <c r="C77" s="24" t="s">
        <v>86</v>
      </c>
      <c r="D77" s="16">
        <v>0</v>
      </c>
      <c r="E77" s="24"/>
      <c r="F77" s="24"/>
      <c r="G77" s="16">
        <f t="shared" si="0"/>
        <v>0</v>
      </c>
      <c r="H77" s="24"/>
      <c r="I77" s="24"/>
      <c r="J77" s="76">
        <f t="shared" si="5"/>
        <v>0</v>
      </c>
      <c r="K77" s="80">
        <v>7</v>
      </c>
      <c r="L77" s="76">
        <f t="shared" si="2"/>
        <v>7</v>
      </c>
      <c r="M77" s="86"/>
      <c r="N77" s="99">
        <v>480</v>
      </c>
      <c r="O77" s="50">
        <f t="shared" si="6"/>
        <v>3360</v>
      </c>
      <c r="P77" s="50">
        <f t="shared" si="7"/>
        <v>0</v>
      </c>
      <c r="Q77" s="43"/>
      <c r="R77" s="43"/>
      <c r="V77" s="86"/>
    </row>
    <row r="78" spans="1:22" ht="7.95" customHeight="1">
      <c r="A78" s="10">
        <v>73</v>
      </c>
      <c r="B78" s="133"/>
      <c r="C78" s="24" t="s">
        <v>64</v>
      </c>
      <c r="D78" s="16">
        <v>185</v>
      </c>
      <c r="E78" s="24"/>
      <c r="F78" s="24"/>
      <c r="G78" s="16">
        <f t="shared" si="0"/>
        <v>185</v>
      </c>
      <c r="H78" s="24">
        <v>5</v>
      </c>
      <c r="I78" s="24"/>
      <c r="J78" s="76">
        <f t="shared" si="5"/>
        <v>180</v>
      </c>
      <c r="K78" s="80">
        <v>100</v>
      </c>
      <c r="L78" s="76">
        <f t="shared" si="2"/>
        <v>280</v>
      </c>
      <c r="M78" s="86"/>
      <c r="N78" s="99">
        <v>900</v>
      </c>
      <c r="O78" s="50">
        <f t="shared" si="6"/>
        <v>252000</v>
      </c>
      <c r="P78" s="50">
        <f t="shared" si="7"/>
        <v>162000</v>
      </c>
      <c r="Q78" s="43"/>
      <c r="R78" s="43"/>
      <c r="V78" s="86">
        <f>7*25+23</f>
        <v>198</v>
      </c>
    </row>
    <row r="79" spans="1:22" ht="7.95" customHeight="1">
      <c r="A79" s="10">
        <v>74</v>
      </c>
      <c r="B79" s="133"/>
      <c r="C79" s="24" t="s">
        <v>65</v>
      </c>
      <c r="D79" s="16">
        <v>175</v>
      </c>
      <c r="E79" s="24"/>
      <c r="F79" s="24"/>
      <c r="G79" s="16">
        <f t="shared" si="0"/>
        <v>175</v>
      </c>
      <c r="H79" s="24"/>
      <c r="I79" s="24"/>
      <c r="J79" s="76">
        <f t="shared" si="5"/>
        <v>175</v>
      </c>
      <c r="K79" s="80">
        <v>80</v>
      </c>
      <c r="L79" s="76">
        <f t="shared" si="2"/>
        <v>255</v>
      </c>
      <c r="M79" s="86"/>
      <c r="N79" s="99">
        <v>550</v>
      </c>
      <c r="O79" s="50">
        <f t="shared" si="6"/>
        <v>140250</v>
      </c>
      <c r="P79" s="50">
        <f t="shared" si="7"/>
        <v>96250</v>
      </c>
      <c r="Q79" s="43"/>
      <c r="R79" s="43"/>
      <c r="V79" s="86">
        <v>259.2</v>
      </c>
    </row>
    <row r="80" spans="1:22" ht="7.95" customHeight="1">
      <c r="A80" s="10">
        <v>75</v>
      </c>
      <c r="B80" s="133"/>
      <c r="C80" s="24" t="s">
        <v>82</v>
      </c>
      <c r="D80" s="16">
        <v>11</v>
      </c>
      <c r="E80" s="24"/>
      <c r="F80" s="24"/>
      <c r="G80" s="16">
        <f t="shared" si="0"/>
        <v>11</v>
      </c>
      <c r="H80" s="24"/>
      <c r="I80" s="24"/>
      <c r="J80" s="76">
        <f t="shared" si="5"/>
        <v>11</v>
      </c>
      <c r="K80" s="80">
        <v>50</v>
      </c>
      <c r="L80" s="76">
        <f t="shared" si="2"/>
        <v>61</v>
      </c>
      <c r="M80" s="86"/>
      <c r="N80" s="99">
        <v>550</v>
      </c>
      <c r="O80" s="50">
        <f t="shared" si="6"/>
        <v>33550</v>
      </c>
      <c r="P80" s="50">
        <f t="shared" si="7"/>
        <v>6050</v>
      </c>
      <c r="Q80" s="43"/>
      <c r="R80" s="43"/>
      <c r="V80" s="86"/>
    </row>
    <row r="81" spans="1:22" ht="7.95" customHeight="1">
      <c r="A81" s="10">
        <v>76</v>
      </c>
      <c r="B81" s="133"/>
      <c r="C81" s="33" t="s">
        <v>76</v>
      </c>
      <c r="D81" s="16">
        <v>9</v>
      </c>
      <c r="E81" s="24"/>
      <c r="F81" s="24"/>
      <c r="G81" s="16">
        <f t="shared" ref="G81:G97" si="8">D81+E81-F81</f>
        <v>9</v>
      </c>
      <c r="H81" s="24"/>
      <c r="I81" s="24"/>
      <c r="J81" s="76">
        <f t="shared" si="5"/>
        <v>9</v>
      </c>
      <c r="K81" s="80">
        <v>331</v>
      </c>
      <c r="L81" s="76">
        <f t="shared" si="2"/>
        <v>340</v>
      </c>
      <c r="M81" s="86"/>
      <c r="N81" s="99">
        <v>857</v>
      </c>
      <c r="O81" s="50">
        <f t="shared" si="6"/>
        <v>291380</v>
      </c>
      <c r="P81" s="50">
        <f t="shared" si="7"/>
        <v>7713</v>
      </c>
      <c r="Q81" s="43"/>
      <c r="R81" s="43">
        <f>34*10</f>
        <v>340</v>
      </c>
      <c r="V81" s="86"/>
    </row>
    <row r="82" spans="1:22" ht="7.95" customHeight="1">
      <c r="A82" s="10">
        <v>77</v>
      </c>
      <c r="B82" s="133"/>
      <c r="C82" s="34" t="s">
        <v>77</v>
      </c>
      <c r="D82" s="16">
        <v>3831</v>
      </c>
      <c r="E82" s="24"/>
      <c r="F82" s="24"/>
      <c r="G82" s="16">
        <f t="shared" si="8"/>
        <v>3831</v>
      </c>
      <c r="H82" s="24"/>
      <c r="I82" s="24"/>
      <c r="J82" s="76">
        <f t="shared" si="5"/>
        <v>3831</v>
      </c>
      <c r="K82" s="80">
        <v>1000</v>
      </c>
      <c r="L82" s="76">
        <f t="shared" si="2"/>
        <v>4831</v>
      </c>
      <c r="M82" s="86"/>
      <c r="N82" s="99">
        <v>483</v>
      </c>
      <c r="O82" s="50">
        <f t="shared" si="6"/>
        <v>2333373</v>
      </c>
      <c r="P82" s="50">
        <f t="shared" si="7"/>
        <v>1850373</v>
      </c>
      <c r="Q82" s="43"/>
      <c r="R82" s="43">
        <f>247*25</f>
        <v>6175</v>
      </c>
      <c r="V82" s="86"/>
    </row>
    <row r="83" spans="1:22" ht="7.95" customHeight="1">
      <c r="A83" s="10">
        <v>78</v>
      </c>
      <c r="B83" s="133"/>
      <c r="C83" s="24" t="s">
        <v>26</v>
      </c>
      <c r="D83" s="16">
        <v>6285</v>
      </c>
      <c r="E83" s="98"/>
      <c r="F83" s="24"/>
      <c r="G83" s="16">
        <f t="shared" si="8"/>
        <v>6285</v>
      </c>
      <c r="H83" s="24"/>
      <c r="I83" s="95">
        <f>6285-5871</f>
        <v>414</v>
      </c>
      <c r="J83" s="76">
        <f t="shared" si="5"/>
        <v>5871</v>
      </c>
      <c r="K83" s="81">
        <v>0</v>
      </c>
      <c r="L83" s="76">
        <f t="shared" si="2"/>
        <v>5871</v>
      </c>
      <c r="M83" s="85"/>
      <c r="N83" s="100">
        <v>64</v>
      </c>
      <c r="O83" s="50">
        <f t="shared" si="6"/>
        <v>375744</v>
      </c>
      <c r="P83" s="50">
        <f t="shared" si="7"/>
        <v>375744</v>
      </c>
      <c r="Q83" s="43"/>
      <c r="R83" s="43"/>
      <c r="V83" s="85"/>
    </row>
    <row r="84" spans="1:22" ht="7.95" customHeight="1">
      <c r="A84" s="10">
        <v>79</v>
      </c>
      <c r="B84" s="133"/>
      <c r="C84" s="35" t="s">
        <v>135</v>
      </c>
      <c r="D84" s="89">
        <v>23</v>
      </c>
      <c r="E84" s="89"/>
      <c r="F84" s="12"/>
      <c r="G84" s="45">
        <f t="shared" si="8"/>
        <v>23</v>
      </c>
      <c r="H84" s="12">
        <v>1</v>
      </c>
      <c r="I84" s="94"/>
      <c r="J84" s="82">
        <f t="shared" ref="J84:J97" si="9">D84+E84-H84-I84</f>
        <v>22</v>
      </c>
      <c r="K84" s="96">
        <v>0</v>
      </c>
      <c r="L84" s="82">
        <f t="shared" si="2"/>
        <v>22</v>
      </c>
      <c r="M84" s="87"/>
      <c r="N84" s="99"/>
      <c r="O84" s="50">
        <f t="shared" si="6"/>
        <v>0</v>
      </c>
      <c r="P84" s="50">
        <f t="shared" si="7"/>
        <v>0</v>
      </c>
      <c r="Q84" s="43"/>
      <c r="R84" s="43"/>
      <c r="V84" s="87"/>
    </row>
    <row r="85" spans="1:22" ht="7.95" customHeight="1">
      <c r="A85" s="10">
        <v>80</v>
      </c>
      <c r="B85" s="133"/>
      <c r="C85" s="47" t="s">
        <v>93</v>
      </c>
      <c r="D85" s="90">
        <v>-17</v>
      </c>
      <c r="E85" s="90"/>
      <c r="F85" s="11"/>
      <c r="G85" s="16">
        <f t="shared" si="8"/>
        <v>-17</v>
      </c>
      <c r="H85" s="88"/>
      <c r="I85" s="11"/>
      <c r="J85" s="76">
        <f t="shared" si="9"/>
        <v>-17</v>
      </c>
      <c r="K85" s="97">
        <v>500</v>
      </c>
      <c r="L85" s="76">
        <f t="shared" si="2"/>
        <v>483</v>
      </c>
      <c r="M85" s="86"/>
      <c r="N85" s="99">
        <v>350</v>
      </c>
      <c r="O85" s="50">
        <f t="shared" si="6"/>
        <v>169050</v>
      </c>
      <c r="P85" s="50">
        <f t="shared" si="7"/>
        <v>-5950</v>
      </c>
      <c r="Q85" s="43"/>
      <c r="R85" s="43"/>
      <c r="V85" s="86">
        <f>41*25+7</f>
        <v>1032</v>
      </c>
    </row>
    <row r="86" spans="1:22" ht="7.95" customHeight="1">
      <c r="A86" s="10">
        <v>81</v>
      </c>
      <c r="B86" s="133"/>
      <c r="C86" s="47" t="s">
        <v>94</v>
      </c>
      <c r="D86" s="90">
        <v>305</v>
      </c>
      <c r="E86" s="90"/>
      <c r="F86" s="11"/>
      <c r="G86" s="16">
        <f t="shared" si="8"/>
        <v>305</v>
      </c>
      <c r="H86" s="88">
        <v>20</v>
      </c>
      <c r="I86" s="11"/>
      <c r="J86" s="76">
        <f t="shared" si="9"/>
        <v>285</v>
      </c>
      <c r="K86" s="97">
        <v>300</v>
      </c>
      <c r="L86" s="76">
        <f t="shared" si="2"/>
        <v>585</v>
      </c>
      <c r="M86" s="84"/>
      <c r="N86" s="99">
        <v>165</v>
      </c>
      <c r="O86" s="50">
        <f t="shared" si="6"/>
        <v>96525</v>
      </c>
      <c r="P86" s="50">
        <f t="shared" si="7"/>
        <v>47025</v>
      </c>
      <c r="Q86" s="43"/>
      <c r="R86" s="43"/>
      <c r="V86" s="84">
        <f>51*25+10</f>
        <v>1285</v>
      </c>
    </row>
    <row r="87" spans="1:22" ht="7.95" customHeight="1">
      <c r="A87" s="10">
        <v>82</v>
      </c>
      <c r="B87" s="133"/>
      <c r="C87" s="47" t="s">
        <v>96</v>
      </c>
      <c r="D87" s="90">
        <v>273</v>
      </c>
      <c r="E87" s="11"/>
      <c r="F87" s="11"/>
      <c r="G87" s="16">
        <f t="shared" si="8"/>
        <v>273</v>
      </c>
      <c r="H87" s="88"/>
      <c r="I87" s="11"/>
      <c r="J87" s="76">
        <f t="shared" si="9"/>
        <v>273</v>
      </c>
      <c r="K87" s="97">
        <v>-1</v>
      </c>
      <c r="L87" s="76">
        <f t="shared" si="2"/>
        <v>272</v>
      </c>
      <c r="M87" s="86"/>
      <c r="N87" s="99">
        <v>630</v>
      </c>
      <c r="O87" s="50">
        <f t="shared" si="6"/>
        <v>171360</v>
      </c>
      <c r="P87" s="50">
        <f t="shared" si="7"/>
        <v>171990</v>
      </c>
      <c r="Q87" s="43"/>
      <c r="R87" s="44"/>
      <c r="V87" s="86"/>
    </row>
    <row r="88" spans="1:22" ht="7.95" customHeight="1">
      <c r="A88" s="10">
        <v>83</v>
      </c>
      <c r="B88" s="133"/>
      <c r="C88" s="47" t="s">
        <v>122</v>
      </c>
      <c r="D88" s="90">
        <v>54</v>
      </c>
      <c r="E88" s="11"/>
      <c r="F88" s="11"/>
      <c r="G88" s="16">
        <f t="shared" si="8"/>
        <v>54</v>
      </c>
      <c r="H88" s="88">
        <v>2</v>
      </c>
      <c r="I88" s="11"/>
      <c r="J88" s="76">
        <f t="shared" si="9"/>
        <v>52</v>
      </c>
      <c r="K88" s="97">
        <v>8</v>
      </c>
      <c r="L88" s="76">
        <f t="shared" ref="L88:L97" si="10">J88+K88</f>
        <v>60</v>
      </c>
      <c r="M88" s="86"/>
      <c r="N88" s="99">
        <v>285</v>
      </c>
      <c r="O88" s="50">
        <f t="shared" si="6"/>
        <v>17100</v>
      </c>
      <c r="P88" s="50">
        <f t="shared" si="7"/>
        <v>14820</v>
      </c>
      <c r="Q88" s="43"/>
      <c r="R88" s="44"/>
      <c r="V88" s="86">
        <f>12*25+3</f>
        <v>303</v>
      </c>
    </row>
    <row r="89" spans="1:22" ht="7.95" customHeight="1">
      <c r="A89" s="10">
        <v>84</v>
      </c>
      <c r="B89" s="133"/>
      <c r="C89" s="47" t="s">
        <v>127</v>
      </c>
      <c r="D89" s="90">
        <v>2113</v>
      </c>
      <c r="E89" s="88"/>
      <c r="F89" s="11"/>
      <c r="G89" s="16">
        <f t="shared" si="8"/>
        <v>2113</v>
      </c>
      <c r="H89" s="88"/>
      <c r="I89" s="11"/>
      <c r="J89" s="76">
        <f t="shared" si="9"/>
        <v>2113</v>
      </c>
      <c r="K89" s="97">
        <v>0</v>
      </c>
      <c r="L89" s="76">
        <f t="shared" si="10"/>
        <v>2113</v>
      </c>
      <c r="M89" s="86"/>
      <c r="N89" s="99">
        <v>205</v>
      </c>
      <c r="O89" s="50">
        <f t="shared" si="6"/>
        <v>433165</v>
      </c>
      <c r="P89" s="50">
        <f t="shared" si="7"/>
        <v>433165</v>
      </c>
      <c r="Q89" s="43"/>
      <c r="R89" s="44"/>
      <c r="V89" s="86">
        <f>7*25+4.9</f>
        <v>179.9</v>
      </c>
    </row>
    <row r="90" spans="1:22" ht="7.95" customHeight="1">
      <c r="A90" s="10">
        <v>85</v>
      </c>
      <c r="B90" s="133"/>
      <c r="C90" s="47" t="s">
        <v>105</v>
      </c>
      <c r="D90" s="90">
        <v>16</v>
      </c>
      <c r="E90" s="11"/>
      <c r="F90" s="11"/>
      <c r="G90" s="16">
        <f t="shared" si="8"/>
        <v>16</v>
      </c>
      <c r="H90" s="88"/>
      <c r="I90" s="11"/>
      <c r="J90" s="76">
        <f t="shared" si="9"/>
        <v>16</v>
      </c>
      <c r="K90" s="97">
        <v>60</v>
      </c>
      <c r="L90" s="76">
        <f t="shared" si="10"/>
        <v>76</v>
      </c>
      <c r="M90" s="86"/>
      <c r="N90" s="99">
        <v>815</v>
      </c>
      <c r="O90" s="50">
        <f t="shared" si="6"/>
        <v>61940</v>
      </c>
      <c r="P90" s="50">
        <f t="shared" si="7"/>
        <v>13040</v>
      </c>
      <c r="Q90" s="43"/>
      <c r="R90" s="44"/>
      <c r="V90" s="86">
        <f>33*10</f>
        <v>330</v>
      </c>
    </row>
    <row r="91" spans="1:22" ht="7.95" customHeight="1">
      <c r="A91" s="10">
        <v>86</v>
      </c>
      <c r="B91" s="133"/>
      <c r="C91" s="47" t="s">
        <v>106</v>
      </c>
      <c r="D91" s="90">
        <v>413</v>
      </c>
      <c r="E91" s="11"/>
      <c r="F91" s="11"/>
      <c r="G91" s="16">
        <f t="shared" si="8"/>
        <v>413</v>
      </c>
      <c r="H91" s="11"/>
      <c r="I91" s="11"/>
      <c r="J91" s="76">
        <f t="shared" si="9"/>
        <v>413</v>
      </c>
      <c r="K91" s="97">
        <v>40</v>
      </c>
      <c r="L91" s="76">
        <f t="shared" si="10"/>
        <v>453</v>
      </c>
      <c r="M91" s="86"/>
      <c r="N91" s="99">
        <v>520</v>
      </c>
      <c r="O91" s="50">
        <f t="shared" si="6"/>
        <v>235560</v>
      </c>
      <c r="P91" s="50">
        <f t="shared" si="7"/>
        <v>214760</v>
      </c>
      <c r="Q91" s="43"/>
      <c r="R91" s="44"/>
      <c r="V91" s="86"/>
    </row>
    <row r="92" spans="1:22" ht="7.95" customHeight="1">
      <c r="A92" s="10">
        <v>87</v>
      </c>
      <c r="B92" s="133"/>
      <c r="C92" s="47" t="s">
        <v>124</v>
      </c>
      <c r="D92" s="90">
        <v>563</v>
      </c>
      <c r="E92" s="88"/>
      <c r="F92" s="11"/>
      <c r="G92" s="16">
        <f t="shared" si="8"/>
        <v>563</v>
      </c>
      <c r="H92" s="88">
        <v>20</v>
      </c>
      <c r="I92" s="11"/>
      <c r="J92" s="83">
        <f t="shared" si="9"/>
        <v>543</v>
      </c>
      <c r="K92" s="97">
        <v>0</v>
      </c>
      <c r="L92" s="76">
        <f t="shared" si="10"/>
        <v>543</v>
      </c>
      <c r="M92" s="86"/>
      <c r="N92" s="99">
        <v>113</v>
      </c>
      <c r="O92" s="50">
        <f t="shared" si="6"/>
        <v>61359</v>
      </c>
      <c r="P92" s="50">
        <f t="shared" si="7"/>
        <v>61359</v>
      </c>
      <c r="Q92" s="43"/>
      <c r="R92" s="44"/>
      <c r="V92" s="86"/>
    </row>
    <row r="93" spans="1:22" ht="7.95" customHeight="1">
      <c r="A93" s="10">
        <v>88</v>
      </c>
      <c r="B93" s="133"/>
      <c r="C93" s="47" t="s">
        <v>116</v>
      </c>
      <c r="D93" s="90">
        <v>756</v>
      </c>
      <c r="E93" s="88"/>
      <c r="F93" s="11"/>
      <c r="G93" s="16">
        <f t="shared" si="8"/>
        <v>756</v>
      </c>
      <c r="H93" s="88"/>
      <c r="I93" s="11"/>
      <c r="J93" s="83">
        <f t="shared" si="9"/>
        <v>756</v>
      </c>
      <c r="K93" s="97">
        <v>-22</v>
      </c>
      <c r="L93" s="76">
        <f t="shared" si="10"/>
        <v>734</v>
      </c>
      <c r="M93" s="86"/>
      <c r="N93" s="99">
        <v>310</v>
      </c>
      <c r="O93" s="50">
        <f t="shared" si="6"/>
        <v>227540</v>
      </c>
      <c r="P93" s="50">
        <f t="shared" si="7"/>
        <v>234360</v>
      </c>
      <c r="Q93" s="43"/>
      <c r="R93" s="44"/>
      <c r="V93" s="86">
        <f>47*25+19</f>
        <v>1194</v>
      </c>
    </row>
    <row r="94" spans="1:22" ht="7.95" customHeight="1">
      <c r="A94" s="10">
        <v>89</v>
      </c>
      <c r="B94" s="133"/>
      <c r="C94" s="47" t="s">
        <v>117</v>
      </c>
      <c r="D94" s="90">
        <v>323</v>
      </c>
      <c r="E94" s="88"/>
      <c r="F94" s="11"/>
      <c r="G94" s="16">
        <f t="shared" si="8"/>
        <v>323</v>
      </c>
      <c r="H94" s="88">
        <v>7</v>
      </c>
      <c r="I94" s="11"/>
      <c r="J94" s="83">
        <f t="shared" si="9"/>
        <v>316</v>
      </c>
      <c r="K94" s="97">
        <v>-50</v>
      </c>
      <c r="L94" s="76">
        <f t="shared" si="10"/>
        <v>266</v>
      </c>
      <c r="M94" s="86"/>
      <c r="N94" s="99">
        <v>950</v>
      </c>
      <c r="O94" s="50">
        <f t="shared" si="6"/>
        <v>252700</v>
      </c>
      <c r="P94" s="50">
        <f t="shared" si="7"/>
        <v>300200</v>
      </c>
      <c r="Q94" s="43"/>
      <c r="R94" s="44"/>
      <c r="V94" s="86">
        <f>17*25+22</f>
        <v>447</v>
      </c>
    </row>
    <row r="95" spans="1:22" ht="7.95" customHeight="1">
      <c r="A95" s="10">
        <v>90</v>
      </c>
      <c r="B95" s="133"/>
      <c r="C95" s="47" t="s">
        <v>118</v>
      </c>
      <c r="D95" s="90">
        <v>246</v>
      </c>
      <c r="E95" s="88"/>
      <c r="F95" s="11"/>
      <c r="G95" s="16">
        <f t="shared" si="8"/>
        <v>246</v>
      </c>
      <c r="H95" s="88"/>
      <c r="I95" s="11"/>
      <c r="J95" s="83">
        <f t="shared" si="9"/>
        <v>246</v>
      </c>
      <c r="K95" s="97">
        <v>-46</v>
      </c>
      <c r="L95" s="76">
        <f t="shared" si="10"/>
        <v>200</v>
      </c>
      <c r="M95" s="86"/>
      <c r="N95" s="99">
        <v>480</v>
      </c>
      <c r="O95" s="50">
        <f t="shared" si="6"/>
        <v>96000</v>
      </c>
      <c r="P95" s="50">
        <f t="shared" si="7"/>
        <v>118080</v>
      </c>
      <c r="Q95" s="43"/>
      <c r="R95" s="44"/>
      <c r="V95" s="86">
        <f>10*25+14</f>
        <v>264</v>
      </c>
    </row>
    <row r="96" spans="1:22" ht="7.95" customHeight="1">
      <c r="A96" s="10">
        <v>91</v>
      </c>
      <c r="B96" s="133"/>
      <c r="C96" s="47" t="s">
        <v>119</v>
      </c>
      <c r="D96" s="90">
        <v>-20</v>
      </c>
      <c r="E96" s="88"/>
      <c r="F96" s="11"/>
      <c r="G96" s="16">
        <f t="shared" si="8"/>
        <v>-20</v>
      </c>
      <c r="H96" s="88"/>
      <c r="I96" s="11"/>
      <c r="J96" s="83">
        <f t="shared" si="9"/>
        <v>-20</v>
      </c>
      <c r="K96" s="97">
        <v>50</v>
      </c>
      <c r="L96" s="76">
        <f t="shared" si="10"/>
        <v>30</v>
      </c>
      <c r="M96" s="86"/>
      <c r="N96" s="99">
        <v>705</v>
      </c>
      <c r="O96" s="50">
        <f t="shared" si="6"/>
        <v>21150</v>
      </c>
      <c r="P96" s="50">
        <f t="shared" si="7"/>
        <v>-14100</v>
      </c>
      <c r="Q96" s="43"/>
      <c r="R96" s="44"/>
      <c r="V96" s="92"/>
    </row>
    <row r="97" spans="1:22" ht="7.95" customHeight="1">
      <c r="A97" s="10">
        <v>92</v>
      </c>
      <c r="B97" s="134"/>
      <c r="C97" s="47" t="s">
        <v>120</v>
      </c>
      <c r="D97" s="90">
        <v>0</v>
      </c>
      <c r="E97" s="88"/>
      <c r="F97" s="11"/>
      <c r="G97" s="16">
        <f t="shared" si="8"/>
        <v>0</v>
      </c>
      <c r="H97" s="88"/>
      <c r="I97" s="11"/>
      <c r="J97" s="83">
        <f t="shared" si="9"/>
        <v>0</v>
      </c>
      <c r="K97" s="97">
        <v>0</v>
      </c>
      <c r="L97" s="76">
        <f t="shared" si="10"/>
        <v>0</v>
      </c>
      <c r="M97" s="86"/>
      <c r="N97" s="99">
        <v>1750</v>
      </c>
      <c r="O97" s="50">
        <f t="shared" si="6"/>
        <v>0</v>
      </c>
      <c r="P97" s="50">
        <f t="shared" si="7"/>
        <v>0</v>
      </c>
      <c r="Q97" s="43"/>
      <c r="R97" s="44"/>
      <c r="V97" s="92"/>
    </row>
    <row r="98" spans="1:22" ht="7.95" customHeight="1">
      <c r="A98" s="11"/>
      <c r="B98" s="11"/>
      <c r="C98" s="36"/>
      <c r="D98" s="27">
        <f>SUM(D6:D97)</f>
        <v>1254971.2549999999</v>
      </c>
      <c r="E98" s="27">
        <f t="shared" ref="E98:L98" si="11">SUM(E6:E97)</f>
        <v>64630</v>
      </c>
      <c r="F98" s="27">
        <f t="shared" si="11"/>
        <v>0</v>
      </c>
      <c r="G98" s="27">
        <f t="shared" si="11"/>
        <v>1319601.2549999999</v>
      </c>
      <c r="H98" s="27">
        <f t="shared" si="11"/>
        <v>69594</v>
      </c>
      <c r="I98" s="27">
        <f t="shared" si="11"/>
        <v>414</v>
      </c>
      <c r="J98" s="27">
        <f t="shared" si="11"/>
        <v>1249593.2549999999</v>
      </c>
      <c r="K98" s="27">
        <f t="shared" si="11"/>
        <v>-577909</v>
      </c>
      <c r="L98" s="27">
        <f t="shared" si="11"/>
        <v>671684.25499999989</v>
      </c>
      <c r="M98" s="27">
        <f>SUM(M6:M96)</f>
        <v>0</v>
      </c>
      <c r="N98" s="51"/>
      <c r="O98" s="51">
        <f t="shared" ref="O98" si="12">SUM(O6:O97)</f>
        <v>28002370.850000001</v>
      </c>
      <c r="P98" s="51">
        <f>SUM(P6:P97)</f>
        <v>40375741.550000004</v>
      </c>
      <c r="Q98" s="57">
        <f>O98-P98</f>
        <v>-12373370.700000003</v>
      </c>
    </row>
    <row r="99" spans="1:22" ht="7.8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22" ht="12.6" customHeight="1">
      <c r="B100" s="126" t="s">
        <v>35</v>
      </c>
      <c r="C100" s="126"/>
      <c r="D100" s="127" t="s">
        <v>66</v>
      </c>
      <c r="E100" s="127"/>
      <c r="F100" s="127"/>
      <c r="G100" s="9"/>
      <c r="H100" s="127" t="s">
        <v>36</v>
      </c>
      <c r="I100" s="127"/>
      <c r="J100" s="127"/>
      <c r="K100" s="7"/>
      <c r="L100" s="109" t="s">
        <v>115</v>
      </c>
      <c r="M100" s="109"/>
      <c r="O100" s="55" t="s">
        <v>110</v>
      </c>
      <c r="P100" s="54">
        <v>79909923</v>
      </c>
    </row>
    <row r="101" spans="1:22">
      <c r="P101" s="54">
        <f>P100-P98</f>
        <v>39534181.449999996</v>
      </c>
    </row>
    <row r="104" spans="1:22">
      <c r="C104" s="13"/>
      <c r="D104" s="13"/>
    </row>
    <row r="105" spans="1:22">
      <c r="C105" s="13"/>
      <c r="D105" s="13"/>
    </row>
  </sheetData>
  <mergeCells count="9">
    <mergeCell ref="B100:C100"/>
    <mergeCell ref="D100:F100"/>
    <mergeCell ref="H100:J100"/>
    <mergeCell ref="A1:M1"/>
    <mergeCell ref="A2:M2"/>
    <mergeCell ref="A3:M3"/>
    <mergeCell ref="A4:C4"/>
    <mergeCell ref="B6:B33"/>
    <mergeCell ref="B34:B97"/>
  </mergeCells>
  <pageMargins left="0.2" right="0.2" top="0" bottom="0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01.10.19</vt:lpstr>
      <vt:lpstr>02.10.19</vt:lpstr>
      <vt:lpstr>03.10.19</vt:lpstr>
      <vt:lpstr>04.10.19</vt:lpstr>
      <vt:lpstr>05.10.19</vt:lpstr>
      <vt:lpstr>06.10.19</vt:lpstr>
      <vt:lpstr>07.10.19</vt:lpstr>
      <vt:lpstr>08.10.19</vt:lpstr>
      <vt:lpstr>09.10.19</vt:lpstr>
      <vt:lpstr>10.10.19</vt:lpstr>
      <vt:lpstr>11.10.19</vt:lpstr>
      <vt:lpstr>12.10.19</vt:lpstr>
      <vt:lpstr>13.10.19</vt:lpstr>
      <vt:lpstr>14.10.19</vt:lpstr>
      <vt:lpstr>15.10.19</vt:lpstr>
      <vt:lpstr>16.10.19</vt:lpstr>
      <vt:lpstr>17.10.19</vt:lpstr>
      <vt:lpstr>18.10.19</vt:lpstr>
      <vt:lpstr>19.10.19</vt:lpstr>
      <vt:lpstr>20.10.19</vt:lpstr>
      <vt:lpstr>21.10.19</vt:lpstr>
      <vt:lpstr>22.10.19</vt:lpstr>
      <vt:lpstr>23.10.19</vt:lpstr>
      <vt:lpstr>24.10.19</vt:lpstr>
      <vt:lpstr>25.10.19</vt:lpstr>
      <vt:lpstr>26.10.19</vt:lpstr>
      <vt:lpstr>27.10.19</vt:lpstr>
      <vt:lpstr>28.10.19</vt:lpstr>
      <vt:lpstr>29.10.19</vt:lpstr>
      <vt:lpstr>Statement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ASUS-KG</dc:creator>
  <cp:lastModifiedBy>KFINV</cp:lastModifiedBy>
  <cp:lastPrinted>2019-02-27T06:05:37Z</cp:lastPrinted>
  <dcterms:created xsi:type="dcterms:W3CDTF">2017-04-10T17:04:55Z</dcterms:created>
  <dcterms:modified xsi:type="dcterms:W3CDTF">2019-10-30T08:34:28Z</dcterms:modified>
</cp:coreProperties>
</file>